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040"/>
  </bookViews>
  <sheets>
    <sheet name="CÁLCULOS" sheetId="1" r:id="rId1"/>
    <sheet name="OBSERVACIONES" sheetId="2" r:id="rId2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4" i="1"/>
  <c r="E65" s="1"/>
  <c r="D63"/>
  <c r="F52"/>
  <c r="H48"/>
  <c r="H47"/>
  <c r="F74" l="1"/>
  <c r="F18"/>
  <c r="E12"/>
  <c r="E13" s="1"/>
  <c r="E18" s="1"/>
  <c r="D11"/>
  <c r="E28"/>
  <c r="H118" l="1"/>
  <c r="H117"/>
  <c r="E110"/>
  <c r="D109"/>
  <c r="H93"/>
  <c r="H92"/>
  <c r="E85"/>
  <c r="D84"/>
  <c r="H70"/>
  <c r="H69"/>
  <c r="E111" l="1"/>
  <c r="E112" s="1"/>
  <c r="E86"/>
  <c r="E74"/>
  <c r="E43"/>
  <c r="D42"/>
  <c r="E44" l="1"/>
  <c r="E52" s="1"/>
  <c r="I67"/>
  <c r="G67"/>
  <c r="I73"/>
  <c r="I72"/>
  <c r="I68"/>
  <c r="G66"/>
  <c r="I70"/>
  <c r="G71"/>
  <c r="G70"/>
  <c r="I71"/>
  <c r="G68"/>
  <c r="G72"/>
  <c r="G69"/>
  <c r="G73"/>
  <c r="I69"/>
  <c r="E87"/>
  <c r="F88" s="1"/>
  <c r="G114"/>
  <c r="E122"/>
  <c r="I51" l="1"/>
  <c r="I49"/>
  <c r="G48"/>
  <c r="G46"/>
  <c r="G51"/>
  <c r="G49"/>
  <c r="I46"/>
  <c r="I50"/>
  <c r="I48"/>
  <c r="G47"/>
  <c r="G50"/>
  <c r="I47"/>
  <c r="I45"/>
  <c r="G45"/>
  <c r="I74"/>
  <c r="G74"/>
  <c r="G89"/>
  <c r="E97"/>
  <c r="G52" l="1"/>
  <c r="G53" s="1"/>
  <c r="F97"/>
  <c r="I52"/>
  <c r="G75"/>
  <c r="I75" s="1"/>
  <c r="G121"/>
  <c r="I115"/>
  <c r="I91"/>
  <c r="G93"/>
  <c r="G90"/>
  <c r="I120"/>
  <c r="G115"/>
  <c r="I94"/>
  <c r="I90"/>
  <c r="G94"/>
  <c r="I119"/>
  <c r="G96"/>
  <c r="G120"/>
  <c r="I116"/>
  <c r="I95"/>
  <c r="G91"/>
  <c r="G95"/>
  <c r="I121"/>
  <c r="G116"/>
  <c r="I96"/>
  <c r="G92"/>
  <c r="I93" l="1"/>
  <c r="I97" s="1"/>
  <c r="I92"/>
  <c r="I53"/>
  <c r="F113"/>
  <c r="G97"/>
  <c r="G98" s="1"/>
  <c r="G118" l="1"/>
  <c r="I117"/>
  <c r="I118"/>
  <c r="G119"/>
  <c r="G117"/>
  <c r="I98"/>
  <c r="E29"/>
  <c r="E34" s="1"/>
  <c r="D27"/>
  <c r="F34"/>
  <c r="G122" l="1"/>
  <c r="I122"/>
  <c r="G17"/>
  <c r="G14"/>
  <c r="G18" s="1"/>
  <c r="G16"/>
  <c r="G15"/>
  <c r="G30"/>
  <c r="G32"/>
  <c r="G33"/>
  <c r="G31"/>
  <c r="G34" l="1"/>
  <c r="G19"/>
  <c r="G35"/>
  <c r="F122" s="1"/>
  <c r="G123" s="1"/>
  <c r="I123" s="1"/>
</calcChain>
</file>

<file path=xl/sharedStrings.xml><?xml version="1.0" encoding="utf-8"?>
<sst xmlns="http://schemas.openxmlformats.org/spreadsheetml/2006/main" count="177" uniqueCount="75">
  <si>
    <t>TOTAL</t>
  </si>
  <si>
    <t>Sueldo Básico</t>
  </si>
  <si>
    <t>Antigüedad</t>
  </si>
  <si>
    <t>Presentismo</t>
  </si>
  <si>
    <t>Jubilación</t>
  </si>
  <si>
    <t>Ley 19.032</t>
  </si>
  <si>
    <t>Obra Social</t>
  </si>
  <si>
    <t>TOTALES</t>
  </si>
  <si>
    <t>CONTRIBUCIONES</t>
  </si>
  <si>
    <t>%</t>
  </si>
  <si>
    <t>Cuota Sindical</t>
  </si>
  <si>
    <t>Fondo Solidario Redistribución</t>
  </si>
  <si>
    <t>CONCEPTOS</t>
  </si>
  <si>
    <t>UNIDADES</t>
  </si>
  <si>
    <t>IMPORTE UNITARIO</t>
  </si>
  <si>
    <t>NETO A COBRAR</t>
  </si>
  <si>
    <t>IMPORTE LIQUIDADO</t>
  </si>
  <si>
    <t>CONCEPTOS NO REMUNERATIVOS</t>
  </si>
  <si>
    <t>RETENCIONES AL TRABAJADOR</t>
  </si>
  <si>
    <t>CONTRIBUCIONES DEL EMPLEADOR</t>
  </si>
  <si>
    <t>Asignaciones Familiares</t>
  </si>
  <si>
    <t>Fondo Nacional de Empleo</t>
  </si>
  <si>
    <t>UNIDADES PORCENTAJES</t>
  </si>
  <si>
    <t>COSTO</t>
  </si>
  <si>
    <t>Días Suspensión artículo 223 Bis LCT</t>
  </si>
  <si>
    <t>Salario Complementario. Dto. 332/20</t>
  </si>
  <si>
    <t>Respecto a la Aseguradora de Riesgos del Trabajo, existen 2 posturas:</t>
  </si>
  <si>
    <t>El Salario Complementario es una asistencia economica otorgada por la ANSes, considerado a cuenta del pago de las remuneraciones o de la asignacion prevista en el articulo 223 bis.</t>
  </si>
  <si>
    <t>Las situaciones prácticas planteadas no se basan en CCT alguno.</t>
  </si>
  <si>
    <t>Partimos de la base que el neto del recibo de haberes del período febrero 2020 es igual al del período abril 2020.</t>
  </si>
  <si>
    <t>La  modalidad de contratación es a tiempo indeterminado completo.</t>
  </si>
  <si>
    <t>El Salario Complementario es una asistencia económica otorgada por la ANSes, considerado a cuenta del pago de las remuneraciones .</t>
  </si>
  <si>
    <t>Situación 1</t>
  </si>
  <si>
    <t>¿Que aportes y contribuciones corresponden ingresar cuando se le otoga al empeador el Salario Complementario?</t>
  </si>
  <si>
    <t xml:space="preserve">Se deben ingresar aportes y contribuciones sobre la remuneración bruta de abril. El Salario Complementario funciona como un Adelanto de Sueldos y como tal no esta afectado a retenciones y </t>
  </si>
  <si>
    <t>Situación 2</t>
  </si>
  <si>
    <t>La Suspensión Concertada del articulo 223 bis de la LCT y el Salario Complementario del Programa ATP pueden convivir en la misma liquidación.</t>
  </si>
  <si>
    <t>El articulo 223 bis prevé una asignación no remunerativa en compensación por la suspensión de la prestación laboral.</t>
  </si>
  <si>
    <t>¿Qué aportes y contribuciones debe tributar la Asignacion No Remunerativa?</t>
  </si>
  <si>
    <t>El empleador tributará las contribuciones de la Ley 23.660 y 23.661, es decir del Regimen Nacional de obras Sociales y Sistema Nacional del Seguro de Salud-FSR.</t>
  </si>
  <si>
    <t>Tambien corresponderá ingresar el Seguro Colectivo de Vida Obligatorio.</t>
  </si>
  <si>
    <t>a) Tributar a la ART</t>
  </si>
  <si>
    <t>Situación 3</t>
  </si>
  <si>
    <t>Es empleador de la Ley 27.541 articulo 19 inc. b), es decir, que aplica una alícuota del 18% para las contribuciones de la Seguridad Social</t>
  </si>
  <si>
    <t>Aplica la reducción de la base de cálculo para las Contribuciones de Seguridad Social prevista por la Ley 27.541 artículo 22.</t>
  </si>
  <si>
    <t>El Salario Complementario funciona como un Adelanto de Sueldos y como tal no esta afectado a aportes y contribuciones.</t>
  </si>
  <si>
    <r>
      <t xml:space="preserve">El Convenio Marco homologado por la Res. MTESS 397/2020, dispone que </t>
    </r>
    <r>
      <rPr>
        <u/>
        <sz val="11"/>
        <color theme="1"/>
        <rFont val="Calibri"/>
        <family val="2"/>
        <scheme val="minor"/>
      </rPr>
      <t>sobre la Suma No Remunerativa</t>
    </r>
    <r>
      <rPr>
        <sz val="11"/>
        <color theme="1"/>
        <rFont val="Calibri"/>
        <family val="2"/>
        <scheme val="minor"/>
      </rPr>
      <t xml:space="preserve"> abonada en virtud del artículo 223 bis LCT deberá realizarse la totalidad de los aportes y</t>
    </r>
  </si>
  <si>
    <t xml:space="preserve">contribuciones a las Leyes 23.660 (Obra Social) y 23.661 (FSR) y el aporte sindical. </t>
  </si>
  <si>
    <t>LIQUIDACIÓN DE HABERES DEL MES DE ABRIL 2020</t>
  </si>
  <si>
    <t>b) No tributar a la ART, puesto que las aseguradoras no van a brindar cobertura si ocurre un siniestro. Incluso si el trabajador se contagia COVID' 19 en principio no estará cubierto por la ART.</t>
  </si>
  <si>
    <t>A las contribuciones liquidadas deberá adicionársele las contribuciones a la ART y el SCVO.</t>
  </si>
  <si>
    <t>El valor vigente $ 7.003,68 y para actividades de determinados sectores económicos el mínimo no imponible es de $ 17.509,20.</t>
  </si>
  <si>
    <t xml:space="preserve">Liquidación de referencia tomada como base de calculo Mes de Febrero de  2020 </t>
  </si>
  <si>
    <t xml:space="preserve">Liquidación de referencia normal del mes de Abril de 2020 </t>
  </si>
  <si>
    <t>Situación 1:</t>
  </si>
  <si>
    <t>Trabajador : Aislamiento obligatorio, no presta servicios (ASPO)</t>
  </si>
  <si>
    <t>Situación 2:</t>
  </si>
  <si>
    <r>
      <t xml:space="preserve">Trabajador : Presta servicios en forma presencial por realizar tareas en actividades consideradas </t>
    </r>
    <r>
      <rPr>
        <b/>
        <u/>
        <sz val="14"/>
        <color theme="1"/>
        <rFont val="Calibri"/>
        <family val="2"/>
        <scheme val="minor"/>
      </rPr>
      <t>esenciales</t>
    </r>
    <r>
      <rPr>
        <b/>
        <sz val="14"/>
        <color theme="1"/>
        <rFont val="Calibri"/>
        <family val="2"/>
        <scheme val="minor"/>
      </rPr>
      <t>.</t>
    </r>
  </si>
  <si>
    <t>La presente situación, también es aplicable a aquellos trabajadores que presten servicios habituales en forma remota (HOME-OFFICE)</t>
  </si>
  <si>
    <t>Empleador : Aplicación articulo 223 bis LCT (sector SIN acuerdo marco RG 397/2020 obligado a homologación formal)</t>
  </si>
  <si>
    <t>Situación 3:</t>
  </si>
  <si>
    <t>El empleador tributará solo las CONTRIBUCIONES de la Ley 23.660 y 23.661,  Obras Social y Sistema Nacional del Seguro de Salud-FSR.</t>
  </si>
  <si>
    <t>Asimismo se aclara que corresponderá ingresar el Seguro Colectivo de Vida Obligatorio (SVO).</t>
  </si>
  <si>
    <t>Empleador : Aplicación articulo 223 bis LCT (sector CON acuerdo marco RG 397/2020 homologación automática)</t>
  </si>
  <si>
    <r>
      <t xml:space="preserve">El Convenio Marco homologado por la Res. MTESS 397/2020, dispone que </t>
    </r>
    <r>
      <rPr>
        <b/>
        <i/>
        <u/>
        <sz val="11"/>
        <color theme="1"/>
        <rFont val="Calibri"/>
        <family val="2"/>
        <scheme val="minor"/>
      </rPr>
      <t>sobre la Suma No Remunerativa</t>
    </r>
    <r>
      <rPr>
        <b/>
        <i/>
        <sz val="11"/>
        <color theme="1"/>
        <rFont val="Calibri"/>
        <family val="2"/>
        <scheme val="minor"/>
      </rPr>
      <t xml:space="preserve"> abonada en virtud del artículo 223 bis LCT deberá realizarse la totalidad de los aportes y</t>
    </r>
  </si>
  <si>
    <t>Salario Complementario Dto.332/20 Máximo (50% Neto Febrero 2020)</t>
  </si>
  <si>
    <t>Liquidación de referencia Abril, con aportes, contribuciones y determinación del costo laboral de la nómina</t>
  </si>
  <si>
    <t>* En todas las situaciones descriptas debajo, no se dedujeron los 1.800,00 de las Contribuciones por aplicación del artículo 23, L. 27.541</t>
  </si>
  <si>
    <t>consideramos que se trata de empleadores con más de 25 empleados, a fin de simplificar la determinación de las contribuciones a la seguridad social.</t>
  </si>
  <si>
    <t>Empleador al que AFIP asignó beneficio ATP, Decreto 332/2020</t>
  </si>
  <si>
    <t>Prestación no remunerativa Art. 223 Bis LCT</t>
  </si>
  <si>
    <t>* Costo nómina descontando asistencia de $ 20.542,50</t>
  </si>
  <si>
    <t xml:space="preserve">deberá realizarse la totalidad de aportes y contribuciones a las Leyes 23.660 (Obra Social) y 23.661 (FSR), mas el aporte sindical. </t>
  </si>
  <si>
    <t>Esquema Referencial para la Liquidación de Haberes</t>
  </si>
  <si>
    <t xml:space="preserve"> Abril 2020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</si>
</sst>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;[Red]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hadow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ck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hair">
        <color auto="1"/>
      </left>
      <right/>
      <top style="thick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auto="1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14">
    <xf numFmtId="0" fontId="0" fillId="0" borderId="0" xfId="0"/>
    <xf numFmtId="0" fontId="0" fillId="2" borderId="0" xfId="0" applyFill="1" applyAlignment="1">
      <alignment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right" vertical="center" wrapText="1"/>
    </xf>
    <xf numFmtId="4" fontId="3" fillId="2" borderId="10" xfId="0" applyNumberFormat="1" applyFont="1" applyFill="1" applyBorder="1" applyAlignment="1">
      <alignment horizontal="left" vertical="center" wrapText="1"/>
    </xf>
    <xf numFmtId="4" fontId="3" fillId="2" borderId="11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left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10" fontId="3" fillId="2" borderId="4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4" fontId="3" fillId="2" borderId="8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3" fillId="2" borderId="16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left" vertical="center" wrapText="1"/>
    </xf>
    <xf numFmtId="4" fontId="3" fillId="2" borderId="19" xfId="0" applyNumberFormat="1" applyFont="1" applyFill="1" applyBorder="1" applyAlignment="1">
      <alignment horizontal="left" vertical="center" wrapText="1"/>
    </xf>
    <xf numFmtId="10" fontId="3" fillId="2" borderId="20" xfId="0" applyNumberFormat="1" applyFont="1" applyFill="1" applyBorder="1" applyAlignment="1">
      <alignment horizontal="center" vertical="center" wrapText="1"/>
    </xf>
    <xf numFmtId="4" fontId="3" fillId="2" borderId="21" xfId="0" applyNumberFormat="1" applyFont="1" applyFill="1" applyBorder="1" applyAlignment="1">
      <alignment horizontal="center" vertical="center" wrapText="1"/>
    </xf>
    <xf numFmtId="9" fontId="4" fillId="2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left"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22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4" fontId="0" fillId="2" borderId="0" xfId="0" applyNumberFormat="1" applyFill="1" applyAlignment="1">
      <alignment wrapText="1"/>
    </xf>
    <xf numFmtId="165" fontId="0" fillId="2" borderId="0" xfId="0" applyNumberFormat="1" applyFill="1" applyAlignment="1">
      <alignment wrapText="1"/>
    </xf>
    <xf numFmtId="0" fontId="1" fillId="2" borderId="0" xfId="0" applyFont="1" applyFill="1" applyAlignment="1"/>
    <xf numFmtId="0" fontId="0" fillId="2" borderId="0" xfId="0" applyFill="1"/>
    <xf numFmtId="0" fontId="1" fillId="2" borderId="0" xfId="0" applyFont="1" applyFill="1"/>
    <xf numFmtId="0" fontId="6" fillId="2" borderId="0" xfId="0" applyFont="1" applyFill="1"/>
    <xf numFmtId="0" fontId="5" fillId="2" borderId="0" xfId="0" applyFont="1" applyFill="1"/>
    <xf numFmtId="0" fontId="1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164" fontId="0" fillId="2" borderId="0" xfId="1" applyFont="1" applyFill="1" applyAlignment="1">
      <alignment wrapText="1"/>
    </xf>
    <xf numFmtId="4" fontId="9" fillId="2" borderId="0" xfId="0" applyNumberFormat="1" applyFont="1" applyFill="1" applyAlignment="1">
      <alignment wrapText="1"/>
    </xf>
    <xf numFmtId="4" fontId="3" fillId="2" borderId="16" xfId="0" applyNumberFormat="1" applyFont="1" applyFill="1" applyBorder="1" applyAlignment="1">
      <alignment horizontal="right" vertical="center" wrapText="1"/>
    </xf>
    <xf numFmtId="4" fontId="3" fillId="2" borderId="26" xfId="0" applyNumberFormat="1" applyFont="1" applyFill="1" applyBorder="1" applyAlignment="1">
      <alignment horizontal="right" vertical="center" wrapText="1"/>
    </xf>
    <xf numFmtId="0" fontId="10" fillId="3" borderId="0" xfId="0" applyFont="1" applyFill="1" applyAlignment="1">
      <alignment vertical="center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wrapText="1"/>
    </xf>
    <xf numFmtId="0" fontId="0" fillId="4" borderId="0" xfId="0" applyFill="1" applyAlignment="1">
      <alignment wrapText="1"/>
    </xf>
    <xf numFmtId="0" fontId="12" fillId="3" borderId="0" xfId="0" applyFont="1" applyFill="1" applyAlignment="1">
      <alignment vertical="center"/>
    </xf>
    <xf numFmtId="0" fontId="10" fillId="2" borderId="25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6" fillId="2" borderId="0" xfId="0" applyFont="1" applyFill="1" applyAlignment="1">
      <alignment horizontal="left" wrapText="1"/>
    </xf>
    <xf numFmtId="0" fontId="10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wrapText="1"/>
    </xf>
    <xf numFmtId="165" fontId="11" fillId="2" borderId="0" xfId="0" applyNumberFormat="1" applyFont="1" applyFill="1" applyAlignment="1">
      <alignment wrapText="1"/>
    </xf>
    <xf numFmtId="0" fontId="11" fillId="4" borderId="0" xfId="0" applyFont="1" applyFill="1" applyAlignment="1">
      <alignment wrapText="1"/>
    </xf>
    <xf numFmtId="0" fontId="6" fillId="2" borderId="27" xfId="0" applyFont="1" applyFill="1" applyBorder="1" applyAlignment="1">
      <alignment vertical="top"/>
    </xf>
    <xf numFmtId="0" fontId="15" fillId="0" borderId="0" xfId="0" applyFont="1" applyAlignment="1">
      <alignment horizontal="left" vertical="center"/>
    </xf>
    <xf numFmtId="4" fontId="6" fillId="2" borderId="0" xfId="0" applyNumberFormat="1" applyFont="1" applyFill="1" applyAlignment="1">
      <alignment horizontal="right" wrapText="1"/>
    </xf>
    <xf numFmtId="4" fontId="5" fillId="2" borderId="0" xfId="0" applyNumberFormat="1" applyFont="1" applyFill="1" applyAlignment="1">
      <alignment horizontal="left" wrapText="1"/>
    </xf>
    <xf numFmtId="4" fontId="9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4" fontId="6" fillId="2" borderId="0" xfId="0" applyNumberFormat="1" applyFont="1" applyFill="1" applyAlignment="1">
      <alignment wrapText="1"/>
    </xf>
    <xf numFmtId="0" fontId="6" fillId="2" borderId="0" xfId="0" applyFont="1" applyFill="1" applyBorder="1" applyAlignment="1">
      <alignment vertical="top"/>
    </xf>
    <xf numFmtId="4" fontId="6" fillId="2" borderId="0" xfId="0" applyNumberFormat="1" applyFont="1" applyFill="1" applyAlignment="1">
      <alignment horizontal="right" vertical="center" wrapText="1"/>
    </xf>
    <xf numFmtId="4" fontId="1" fillId="2" borderId="23" xfId="0" applyNumberFormat="1" applyFont="1" applyFill="1" applyBorder="1" applyAlignment="1">
      <alignment vertical="center" wrapText="1"/>
    </xf>
    <xf numFmtId="0" fontId="0" fillId="4" borderId="0" xfId="0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6" fillId="4" borderId="0" xfId="0" applyFont="1" applyFill="1" applyAlignment="1">
      <alignment wrapText="1"/>
    </xf>
    <xf numFmtId="0" fontId="0" fillId="2" borderId="0" xfId="0" applyFill="1" applyAlignment="1"/>
    <xf numFmtId="0" fontId="10" fillId="2" borderId="0" xfId="0" applyNumberFormat="1" applyFont="1" applyFill="1" applyAlignment="1"/>
    <xf numFmtId="0" fontId="16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wrapText="1"/>
    </xf>
    <xf numFmtId="0" fontId="10" fillId="3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0" fillId="2" borderId="0" xfId="0" applyFont="1" applyFill="1" applyAlignment="1">
      <alignment horizontal="left"/>
    </xf>
    <xf numFmtId="0" fontId="1" fillId="2" borderId="2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952500</xdr:colOff>
      <xdr:row>11</xdr:row>
      <xdr:rowOff>161925</xdr:rowOff>
    </xdr:from>
    <xdr:to>
      <xdr:col>7</xdr:col>
      <xdr:colOff>209550</xdr:colOff>
      <xdr:row>17</xdr:row>
      <xdr:rowOff>19051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xmlns="" id="{053F8ED2-51C3-4D25-B7E3-89E8CC251EC5}"/>
            </a:ext>
          </a:extLst>
        </xdr:cNvPr>
        <xdr:cNvCxnSpPr/>
      </xdr:nvCxnSpPr>
      <xdr:spPr>
        <a:xfrm flipV="1">
          <a:off x="5553075" y="1857375"/>
          <a:ext cx="2400300" cy="15811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762000</xdr:colOff>
      <xdr:row>13</xdr:row>
      <xdr:rowOff>28576</xdr:rowOff>
    </xdr:from>
    <xdr:to>
      <xdr:col>2</xdr:col>
      <xdr:colOff>857248</xdr:colOff>
      <xdr:row>16</xdr:row>
      <xdr:rowOff>247650</xdr:rowOff>
    </xdr:to>
    <xdr:sp macro="" textlink="">
      <xdr:nvSpPr>
        <xdr:cNvPr id="24" name="Luna 23">
          <a:extLst>
            <a:ext uri="{FF2B5EF4-FFF2-40B4-BE49-F238E27FC236}">
              <a16:creationId xmlns:a16="http://schemas.microsoft.com/office/drawing/2014/main" xmlns="" id="{F267E8D1-CEEE-4422-9F2D-CBD4A5487BF5}"/>
            </a:ext>
          </a:extLst>
        </xdr:cNvPr>
        <xdr:cNvSpPr/>
      </xdr:nvSpPr>
      <xdr:spPr>
        <a:xfrm flipH="1">
          <a:off x="3267075" y="2257426"/>
          <a:ext cx="95248" cy="1019174"/>
        </a:xfrm>
        <a:prstGeom prst="moon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228600</xdr:colOff>
      <xdr:row>7</xdr:row>
      <xdr:rowOff>85725</xdr:rowOff>
    </xdr:from>
    <xdr:to>
      <xdr:col>10</xdr:col>
      <xdr:colOff>590549</xdr:colOff>
      <xdr:row>13</xdr:row>
      <xdr:rowOff>28575</xdr:rowOff>
    </xdr:to>
    <xdr:sp macro="" textlink="">
      <xdr:nvSpPr>
        <xdr:cNvPr id="26" name="Bocadillo: ovalado 25">
          <a:extLst>
            <a:ext uri="{FF2B5EF4-FFF2-40B4-BE49-F238E27FC236}">
              <a16:creationId xmlns:a16="http://schemas.microsoft.com/office/drawing/2014/main" xmlns="" id="{2C6129C6-67EA-4B6A-A907-5A5C573DA840}"/>
            </a:ext>
          </a:extLst>
        </xdr:cNvPr>
        <xdr:cNvSpPr/>
      </xdr:nvSpPr>
      <xdr:spPr>
        <a:xfrm>
          <a:off x="7972425" y="895350"/>
          <a:ext cx="2724149" cy="1362075"/>
        </a:xfrm>
        <a:prstGeom prst="wedgeEllipse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Determinación Base Cálculo</a:t>
          </a:r>
        </a:p>
        <a:p>
          <a:pPr algn="l"/>
          <a:r>
            <a:rPr lang="es-ES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49.500  100% Bruto 02/2020        - 8.415     17 %  Deducciones</a:t>
          </a:r>
        </a:p>
        <a:p>
          <a:pPr algn="l"/>
          <a:endParaRPr lang="es-ES" sz="1100" b="1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s-ES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41.085    83%  Sueldo Bruto</a:t>
          </a:r>
          <a:endParaRPr lang="es-ES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990600</xdr:colOff>
      <xdr:row>10</xdr:row>
      <xdr:rowOff>219075</xdr:rowOff>
    </xdr:from>
    <xdr:to>
      <xdr:col>7</xdr:col>
      <xdr:colOff>142875</xdr:colOff>
      <xdr:row>14</xdr:row>
      <xdr:rowOff>238125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xmlns="" id="{A10E38D9-A65F-4D9B-9D9C-ECA06D9A6EAA}"/>
            </a:ext>
          </a:extLst>
        </xdr:cNvPr>
        <xdr:cNvCxnSpPr/>
      </xdr:nvCxnSpPr>
      <xdr:spPr>
        <a:xfrm flipV="1">
          <a:off x="3495675" y="1647825"/>
          <a:ext cx="4391025" cy="1085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1000125</xdr:colOff>
      <xdr:row>26</xdr:row>
      <xdr:rowOff>95250</xdr:rowOff>
    </xdr:from>
    <xdr:to>
      <xdr:col>10</xdr:col>
      <xdr:colOff>638175</xdr:colOff>
      <xdr:row>31</xdr:row>
      <xdr:rowOff>152401</xdr:rowOff>
    </xdr:to>
    <xdr:sp macro="" textlink="">
      <xdr:nvSpPr>
        <xdr:cNvPr id="37" name="Bocadillo: ovalado 36">
          <a:extLst>
            <a:ext uri="{FF2B5EF4-FFF2-40B4-BE49-F238E27FC236}">
              <a16:creationId xmlns:a16="http://schemas.microsoft.com/office/drawing/2014/main" xmlns="" id="{B038AD87-6014-4476-9F4C-9C6D11935DE9}"/>
            </a:ext>
          </a:extLst>
        </xdr:cNvPr>
        <xdr:cNvSpPr/>
      </xdr:nvSpPr>
      <xdr:spPr>
        <a:xfrm>
          <a:off x="7639050" y="6248400"/>
          <a:ext cx="3009900" cy="1771651"/>
        </a:xfrm>
        <a:prstGeom prst="wedgeEllipseCallout">
          <a:avLst>
            <a:gd name="adj1" fmla="val -48760"/>
            <a:gd name="adj2" fmla="val 10969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 nuestro análisis y sólo a efectos de simplificación, partimos del siguiente supuesto:</a:t>
          </a:r>
        </a:p>
        <a:p>
          <a:pPr algn="l"/>
          <a:endParaRPr lang="es-ES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Sueldo Abril 2020 = Febrero 2020</a:t>
          </a:r>
        </a:p>
        <a:p>
          <a:pPr algn="l"/>
          <a:endParaRPr lang="es-ES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lang="es-E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333376</xdr:colOff>
      <xdr:row>36</xdr:row>
      <xdr:rowOff>133350</xdr:rowOff>
    </xdr:from>
    <xdr:to>
      <xdr:col>12</xdr:col>
      <xdr:colOff>819151</xdr:colOff>
      <xdr:row>44</xdr:row>
      <xdr:rowOff>152400</xdr:rowOff>
    </xdr:to>
    <xdr:sp macro="" textlink="">
      <xdr:nvSpPr>
        <xdr:cNvPr id="39" name="Bocadillo: ovalado 38">
          <a:extLst>
            <a:ext uri="{FF2B5EF4-FFF2-40B4-BE49-F238E27FC236}">
              <a16:creationId xmlns:a16="http://schemas.microsoft.com/office/drawing/2014/main" xmlns="" id="{33221A52-D8CF-4F84-A0B3-6E9996A20128}"/>
            </a:ext>
          </a:extLst>
        </xdr:cNvPr>
        <xdr:cNvSpPr/>
      </xdr:nvSpPr>
      <xdr:spPr>
        <a:xfrm>
          <a:off x="9572626" y="9572625"/>
          <a:ext cx="2800350" cy="1971675"/>
        </a:xfrm>
        <a:prstGeom prst="wedgeEllipseCallout">
          <a:avLst>
            <a:gd name="adj1" fmla="val -110401"/>
            <a:gd name="adj2" fmla="val -3368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Liquidación normal y habitual mes de Abril 2020.</a:t>
          </a:r>
        </a:p>
        <a:p>
          <a:pPr algn="l"/>
          <a:r>
            <a:rPr lang="es-ES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 determinación del costo correspondiente a nómina completa, incorporando sueldos y cargas sociales</a:t>
          </a:r>
          <a:endParaRPr lang="es-ES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333375</xdr:colOff>
      <xdr:row>46</xdr:row>
      <xdr:rowOff>257176</xdr:rowOff>
    </xdr:from>
    <xdr:to>
      <xdr:col>12</xdr:col>
      <xdr:colOff>752475</xdr:colOff>
      <xdr:row>52</xdr:row>
      <xdr:rowOff>152400</xdr:rowOff>
    </xdr:to>
    <xdr:sp macro="" textlink="">
      <xdr:nvSpPr>
        <xdr:cNvPr id="41" name="Bocadillo: ovalado 40">
          <a:extLst>
            <a:ext uri="{FF2B5EF4-FFF2-40B4-BE49-F238E27FC236}">
              <a16:creationId xmlns:a16="http://schemas.microsoft.com/office/drawing/2014/main" xmlns="" id="{820B2B42-9F78-4AB2-9C0D-0779C6FF2E38}"/>
            </a:ext>
          </a:extLst>
        </xdr:cNvPr>
        <xdr:cNvSpPr/>
      </xdr:nvSpPr>
      <xdr:spPr>
        <a:xfrm>
          <a:off x="9572625" y="12201526"/>
          <a:ext cx="2733675" cy="1552574"/>
        </a:xfrm>
        <a:prstGeom prst="wedgeEllipseCallout">
          <a:avLst>
            <a:gd name="adj1" fmla="val -55631"/>
            <a:gd name="adj2" fmla="val 5027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Sueldo abonado:      </a:t>
          </a:r>
          <a:r>
            <a:rPr lang="es-ES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40.095,00</a:t>
          </a:r>
        </a:p>
        <a:p>
          <a:pPr algn="l"/>
          <a:r>
            <a:rPr lang="es-ES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Cargas del mes</a:t>
          </a: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Aportes:                        9.405,00</a:t>
          </a: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Contribuciones:         10.619,34</a:t>
          </a:r>
        </a:p>
        <a:p>
          <a:pPr algn="l"/>
          <a:r>
            <a:rPr lang="es-ES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* Total  Nomina:       60.119,34 </a:t>
          </a:r>
        </a:p>
        <a:p>
          <a:pPr algn="l"/>
          <a:endParaRPr lang="es-E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352425</xdr:colOff>
      <xdr:row>45</xdr:row>
      <xdr:rowOff>152400</xdr:rowOff>
    </xdr:from>
    <xdr:to>
      <xdr:col>5</xdr:col>
      <xdr:colOff>247650</xdr:colOff>
      <xdr:row>50</xdr:row>
      <xdr:rowOff>142875</xdr:rowOff>
    </xdr:to>
    <xdr:sp macro="" textlink="">
      <xdr:nvSpPr>
        <xdr:cNvPr id="43" name="Bocadillo: ovalado 42">
          <a:extLst>
            <a:ext uri="{FF2B5EF4-FFF2-40B4-BE49-F238E27FC236}">
              <a16:creationId xmlns:a16="http://schemas.microsoft.com/office/drawing/2014/main" xmlns="" id="{D684173B-861C-41BB-ADE4-DD3CD4BE95BD}"/>
            </a:ext>
          </a:extLst>
        </xdr:cNvPr>
        <xdr:cNvSpPr/>
      </xdr:nvSpPr>
      <xdr:spPr>
        <a:xfrm>
          <a:off x="3857625" y="10734675"/>
          <a:ext cx="1990725" cy="1371600"/>
        </a:xfrm>
        <a:prstGeom prst="wedgeEllipseCallout">
          <a:avLst>
            <a:gd name="adj1" fmla="val 117477"/>
            <a:gd name="adj2" fmla="val 831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Incorporamos Cuota Sindical, respecto a Febrero</a:t>
          </a:r>
        </a:p>
      </xdr:txBody>
    </xdr:sp>
    <xdr:clientData/>
  </xdr:twoCellAnchor>
  <xdr:twoCellAnchor>
    <xdr:from>
      <xdr:col>9</xdr:col>
      <xdr:colOff>47625</xdr:colOff>
      <xdr:row>44</xdr:row>
      <xdr:rowOff>123825</xdr:rowOff>
    </xdr:from>
    <xdr:to>
      <xdr:col>9</xdr:col>
      <xdr:colOff>474735</xdr:colOff>
      <xdr:row>46</xdr:row>
      <xdr:rowOff>211641</xdr:rowOff>
    </xdr:to>
    <xdr:cxnSp macro="">
      <xdr:nvCxnSpPr>
        <xdr:cNvPr id="45" name="Conector recto de flecha 44">
          <a:extLst>
            <a:ext uri="{FF2B5EF4-FFF2-40B4-BE49-F238E27FC236}">
              <a16:creationId xmlns:a16="http://schemas.microsoft.com/office/drawing/2014/main" xmlns="" id="{04D8E47C-DF9E-414C-AE92-5B3472CD717A}"/>
            </a:ext>
          </a:extLst>
        </xdr:cNvPr>
        <xdr:cNvCxnSpPr>
          <a:endCxn id="72" idx="8"/>
        </xdr:cNvCxnSpPr>
      </xdr:nvCxnSpPr>
      <xdr:spPr>
        <a:xfrm>
          <a:off x="9286875" y="11515725"/>
          <a:ext cx="427110" cy="64026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45</xdr:row>
      <xdr:rowOff>219076</xdr:rowOff>
    </xdr:from>
    <xdr:to>
      <xdr:col>9</xdr:col>
      <xdr:colOff>474735</xdr:colOff>
      <xdr:row>46</xdr:row>
      <xdr:rowOff>211641</xdr:rowOff>
    </xdr:to>
    <xdr:cxnSp macro="">
      <xdr:nvCxnSpPr>
        <xdr:cNvPr id="46" name="Conector recto de flecha 45">
          <a:extLst>
            <a:ext uri="{FF2B5EF4-FFF2-40B4-BE49-F238E27FC236}">
              <a16:creationId xmlns:a16="http://schemas.microsoft.com/office/drawing/2014/main" xmlns="" id="{320B6479-51B6-41B4-9765-881C10E3B49F}"/>
            </a:ext>
          </a:extLst>
        </xdr:cNvPr>
        <xdr:cNvCxnSpPr>
          <a:endCxn id="72" idx="8"/>
        </xdr:cNvCxnSpPr>
      </xdr:nvCxnSpPr>
      <xdr:spPr>
        <a:xfrm>
          <a:off x="9315450" y="11887201"/>
          <a:ext cx="398535" cy="2687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46</xdr:row>
      <xdr:rowOff>211641</xdr:rowOff>
    </xdr:from>
    <xdr:to>
      <xdr:col>9</xdr:col>
      <xdr:colOff>474735</xdr:colOff>
      <xdr:row>49</xdr:row>
      <xdr:rowOff>219075</xdr:rowOff>
    </xdr:to>
    <xdr:cxnSp macro="">
      <xdr:nvCxnSpPr>
        <xdr:cNvPr id="48" name="Conector recto de flecha 47">
          <a:extLst>
            <a:ext uri="{FF2B5EF4-FFF2-40B4-BE49-F238E27FC236}">
              <a16:creationId xmlns:a16="http://schemas.microsoft.com/office/drawing/2014/main" xmlns="" id="{7A172B51-B315-4841-833D-B70FDE9FAEEE}"/>
            </a:ext>
          </a:extLst>
        </xdr:cNvPr>
        <xdr:cNvCxnSpPr>
          <a:stCxn id="67" idx="1"/>
          <a:endCxn id="72" idx="8"/>
        </xdr:cNvCxnSpPr>
      </xdr:nvCxnSpPr>
      <xdr:spPr>
        <a:xfrm flipV="1">
          <a:off x="9324975" y="12155991"/>
          <a:ext cx="389010" cy="83610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49</xdr:row>
      <xdr:rowOff>85725</xdr:rowOff>
    </xdr:from>
    <xdr:to>
      <xdr:col>9</xdr:col>
      <xdr:colOff>85725</xdr:colOff>
      <xdr:row>50</xdr:row>
      <xdr:rowOff>76200</xdr:rowOff>
    </xdr:to>
    <xdr:sp macro="" textlink="">
      <xdr:nvSpPr>
        <xdr:cNvPr id="67" name="Cerrar llave 66">
          <a:extLst>
            <a:ext uri="{FF2B5EF4-FFF2-40B4-BE49-F238E27FC236}">
              <a16:creationId xmlns:a16="http://schemas.microsoft.com/office/drawing/2014/main" xmlns="" id="{8AEB6349-C70B-4E7A-8AF0-469B25B767A7}"/>
            </a:ext>
          </a:extLst>
        </xdr:cNvPr>
        <xdr:cNvSpPr/>
      </xdr:nvSpPr>
      <xdr:spPr>
        <a:xfrm>
          <a:off x="9239250" y="10620375"/>
          <a:ext cx="85725" cy="1809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542925</xdr:colOff>
      <xdr:row>44</xdr:row>
      <xdr:rowOff>142875</xdr:rowOff>
    </xdr:from>
    <xdr:to>
      <xdr:col>12</xdr:col>
      <xdr:colOff>819150</xdr:colOff>
      <xdr:row>46</xdr:row>
      <xdr:rowOff>247650</xdr:rowOff>
    </xdr:to>
    <xdr:sp macro="" textlink="">
      <xdr:nvSpPr>
        <xdr:cNvPr id="72" name="Bocadillo: ovalado 71">
          <a:extLst>
            <a:ext uri="{FF2B5EF4-FFF2-40B4-BE49-F238E27FC236}">
              <a16:creationId xmlns:a16="http://schemas.microsoft.com/office/drawing/2014/main" xmlns="" id="{3C03D8D8-838A-49A1-B7D3-5FDCD1BC942E}"/>
            </a:ext>
          </a:extLst>
        </xdr:cNvPr>
        <xdr:cNvSpPr/>
      </xdr:nvSpPr>
      <xdr:spPr>
        <a:xfrm>
          <a:off x="9782175" y="11534775"/>
          <a:ext cx="2590800" cy="657225"/>
        </a:xfrm>
        <a:prstGeom prst="wedgeEllipseCallout">
          <a:avLst>
            <a:gd name="adj1" fmla="val -52632"/>
            <a:gd name="adj2" fmla="val 4452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</a:t>
          </a:r>
          <a:r>
            <a:rPr lang="es-ES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detrajo $ 7.003,68, por aplicación art. 22 L. 27.541</a:t>
          </a:r>
        </a:p>
        <a:p>
          <a:pPr algn="l"/>
          <a:endParaRPr lang="es-E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209549</xdr:colOff>
      <xdr:row>61</xdr:row>
      <xdr:rowOff>295275</xdr:rowOff>
    </xdr:from>
    <xdr:to>
      <xdr:col>12</xdr:col>
      <xdr:colOff>495299</xdr:colOff>
      <xdr:row>65</xdr:row>
      <xdr:rowOff>152400</xdr:rowOff>
    </xdr:to>
    <xdr:sp macro="" textlink="">
      <xdr:nvSpPr>
        <xdr:cNvPr id="92" name="Bocadillo: ovalado 91">
          <a:extLst>
            <a:ext uri="{FF2B5EF4-FFF2-40B4-BE49-F238E27FC236}">
              <a16:creationId xmlns:a16="http://schemas.microsoft.com/office/drawing/2014/main" xmlns="" id="{C8279751-B6A3-4ECC-B4E1-87CFA443EB2E}"/>
            </a:ext>
          </a:extLst>
        </xdr:cNvPr>
        <xdr:cNvSpPr/>
      </xdr:nvSpPr>
      <xdr:spPr>
        <a:xfrm>
          <a:off x="8915399" y="15801975"/>
          <a:ext cx="2600325" cy="1228725"/>
        </a:xfrm>
        <a:prstGeom prst="wedgeEllipseCallout">
          <a:avLst>
            <a:gd name="adj1" fmla="val -116494"/>
            <a:gd name="adj2" fmla="val 5177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Beneficio Dto. 332/2020, (funciona como adelanto a cuenta de la liquidación de abril 2020)</a:t>
          </a:r>
        </a:p>
      </xdr:txBody>
    </xdr:sp>
    <xdr:clientData/>
  </xdr:twoCellAnchor>
  <xdr:twoCellAnchor>
    <xdr:from>
      <xdr:col>9</xdr:col>
      <xdr:colOff>342900</xdr:colOff>
      <xdr:row>65</xdr:row>
      <xdr:rowOff>247649</xdr:rowOff>
    </xdr:from>
    <xdr:to>
      <xdr:col>12</xdr:col>
      <xdr:colOff>762000</xdr:colOff>
      <xdr:row>74</xdr:row>
      <xdr:rowOff>95249</xdr:rowOff>
    </xdr:to>
    <xdr:sp macro="" textlink="">
      <xdr:nvSpPr>
        <xdr:cNvPr id="96" name="Bocadillo: ovalado 95">
          <a:extLst>
            <a:ext uri="{FF2B5EF4-FFF2-40B4-BE49-F238E27FC236}">
              <a16:creationId xmlns:a16="http://schemas.microsoft.com/office/drawing/2014/main" xmlns="" id="{B6B77B2F-0954-45E4-86D4-26063F98A538}"/>
            </a:ext>
          </a:extLst>
        </xdr:cNvPr>
        <xdr:cNvSpPr/>
      </xdr:nvSpPr>
      <xdr:spPr>
        <a:xfrm>
          <a:off x="9582150" y="15935324"/>
          <a:ext cx="2733675" cy="2333625"/>
        </a:xfrm>
        <a:prstGeom prst="wedgeEllipseCallout">
          <a:avLst>
            <a:gd name="adj1" fmla="val -61206"/>
            <a:gd name="adj2" fmla="val 5345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Sueldo abonado:(1) 19,552,50</a:t>
          </a: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Cargas del mes:</a:t>
          </a: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Aportes:                        9.405,00</a:t>
          </a: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Contribuciones:         10.619,34</a:t>
          </a:r>
        </a:p>
        <a:p>
          <a:pPr algn="l"/>
          <a:r>
            <a:rPr lang="es-ES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*  Total  Nómina:     39.576,84</a:t>
          </a: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(1) </a:t>
          </a: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Sueldo abonado        19.552,50  + Salario Complem.  20.542,50</a:t>
          </a:r>
        </a:p>
        <a:p>
          <a:pPr algn="l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Total</a:t>
          </a:r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Percibido:        </a:t>
          </a:r>
          <a:r>
            <a:rPr lang="es-ES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40.095,00</a:t>
          </a:r>
          <a:endParaRPr lang="es-ES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1038225</xdr:colOff>
      <xdr:row>80</xdr:row>
      <xdr:rowOff>209550</xdr:rowOff>
    </xdr:from>
    <xdr:to>
      <xdr:col>12</xdr:col>
      <xdr:colOff>666750</xdr:colOff>
      <xdr:row>85</xdr:row>
      <xdr:rowOff>123825</xdr:rowOff>
    </xdr:to>
    <xdr:sp macro="" textlink="">
      <xdr:nvSpPr>
        <xdr:cNvPr id="98" name="Bocadillo: ovalado 97">
          <a:extLst>
            <a:ext uri="{FF2B5EF4-FFF2-40B4-BE49-F238E27FC236}">
              <a16:creationId xmlns:a16="http://schemas.microsoft.com/office/drawing/2014/main" xmlns="" id="{1CC7AD3E-B2C2-413B-B17D-4A758B12E8B9}"/>
            </a:ext>
          </a:extLst>
        </xdr:cNvPr>
        <xdr:cNvSpPr/>
      </xdr:nvSpPr>
      <xdr:spPr>
        <a:xfrm>
          <a:off x="8639175" y="21869400"/>
          <a:ext cx="3048000" cy="1438275"/>
        </a:xfrm>
        <a:prstGeom prst="wedgeEllipseCallout">
          <a:avLst>
            <a:gd name="adj1" fmla="val -132058"/>
            <a:gd name="adj2" fmla="val 10075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El empleador</a:t>
          </a:r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consideró aplicar el 70% de la remuneracion bruta, como prestación</a:t>
          </a: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REMUNERATIVA 223 bis</a:t>
          </a: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49.500,00 * 70 % :   34.650,00</a:t>
          </a:r>
          <a:endParaRPr lang="es-E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352425</xdr:colOff>
      <xdr:row>85</xdr:row>
      <xdr:rowOff>161926</xdr:rowOff>
    </xdr:from>
    <xdr:to>
      <xdr:col>12</xdr:col>
      <xdr:colOff>638175</xdr:colOff>
      <xdr:row>88</xdr:row>
      <xdr:rowOff>85726</xdr:rowOff>
    </xdr:to>
    <xdr:sp macro="" textlink="">
      <xdr:nvSpPr>
        <xdr:cNvPr id="100" name="Bocadillo: ovalado 99">
          <a:extLst>
            <a:ext uri="{FF2B5EF4-FFF2-40B4-BE49-F238E27FC236}">
              <a16:creationId xmlns:a16="http://schemas.microsoft.com/office/drawing/2014/main" xmlns="" id="{D5C696D1-2E30-4300-B923-32A1DC858B76}"/>
            </a:ext>
          </a:extLst>
        </xdr:cNvPr>
        <xdr:cNvSpPr/>
      </xdr:nvSpPr>
      <xdr:spPr>
        <a:xfrm>
          <a:off x="9058275" y="23345776"/>
          <a:ext cx="2600325" cy="952500"/>
        </a:xfrm>
        <a:prstGeom prst="wedgeEllipseCallout">
          <a:avLst>
            <a:gd name="adj1" fmla="val -120523"/>
            <a:gd name="adj2" fmla="val 5819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Beneficio Dto.332/2020, funciona como adelanto</a:t>
          </a:r>
        </a:p>
      </xdr:txBody>
    </xdr:sp>
    <xdr:clientData/>
  </xdr:twoCellAnchor>
  <xdr:twoCellAnchor>
    <xdr:from>
      <xdr:col>5</xdr:col>
      <xdr:colOff>975497</xdr:colOff>
      <xdr:row>87</xdr:row>
      <xdr:rowOff>291881</xdr:rowOff>
    </xdr:from>
    <xdr:to>
      <xdr:col>6</xdr:col>
      <xdr:colOff>323850</xdr:colOff>
      <xdr:row>88</xdr:row>
      <xdr:rowOff>266697</xdr:rowOff>
    </xdr:to>
    <xdr:cxnSp macro="">
      <xdr:nvCxnSpPr>
        <xdr:cNvPr id="106" name="Conector: angular 105">
          <a:extLst>
            <a:ext uri="{FF2B5EF4-FFF2-40B4-BE49-F238E27FC236}">
              <a16:creationId xmlns:a16="http://schemas.microsoft.com/office/drawing/2014/main" xmlns="" id="{BF0814F2-6184-42B8-81E5-3813670432F2}"/>
            </a:ext>
          </a:extLst>
        </xdr:cNvPr>
        <xdr:cNvCxnSpPr/>
      </xdr:nvCxnSpPr>
      <xdr:spPr>
        <a:xfrm rot="16200000" flipH="1">
          <a:off x="6610628" y="24127100"/>
          <a:ext cx="317716" cy="386578"/>
        </a:xfrm>
        <a:prstGeom prst="bentConnector2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88</xdr:row>
      <xdr:rowOff>219076</xdr:rowOff>
    </xdr:from>
    <xdr:to>
      <xdr:col>5</xdr:col>
      <xdr:colOff>400050</xdr:colOff>
      <xdr:row>94</xdr:row>
      <xdr:rowOff>200025</xdr:rowOff>
    </xdr:to>
    <xdr:sp macro="" textlink="">
      <xdr:nvSpPr>
        <xdr:cNvPr id="110" name="Bocadillo: ovalado 109">
          <a:extLst>
            <a:ext uri="{FF2B5EF4-FFF2-40B4-BE49-F238E27FC236}">
              <a16:creationId xmlns:a16="http://schemas.microsoft.com/office/drawing/2014/main" xmlns="" id="{B5C391B4-047B-4F82-8E3A-B127EB7D0F5F}"/>
            </a:ext>
          </a:extLst>
        </xdr:cNvPr>
        <xdr:cNvSpPr/>
      </xdr:nvSpPr>
      <xdr:spPr>
        <a:xfrm>
          <a:off x="3238500" y="24431626"/>
          <a:ext cx="2762250" cy="2038349"/>
        </a:xfrm>
        <a:prstGeom prst="wedgeEllipseCallout">
          <a:avLst>
            <a:gd name="adj1" fmla="val 68428"/>
            <a:gd name="adj2" fmla="val -4660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Suspensión Concertada del Art. 223 bis de la LCT y el Salario Complementario del Programa ATP pueden convivir en la misma liquidación. El</a:t>
          </a:r>
          <a:r>
            <a:rPr lang="es-E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Salario Complementario será a cuenta del 223 bis.</a:t>
          </a:r>
          <a:r>
            <a:rPr lang="es-ES"/>
            <a:t> </a:t>
          </a:r>
          <a:endParaRPr lang="es-E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104775</xdr:colOff>
      <xdr:row>90</xdr:row>
      <xdr:rowOff>228600</xdr:rowOff>
    </xdr:from>
    <xdr:to>
      <xdr:col>12</xdr:col>
      <xdr:colOff>561975</xdr:colOff>
      <xdr:row>97</xdr:row>
      <xdr:rowOff>219076</xdr:rowOff>
    </xdr:to>
    <xdr:sp macro="" textlink="">
      <xdr:nvSpPr>
        <xdr:cNvPr id="112" name="Bocadillo: ovalado 111">
          <a:extLst>
            <a:ext uri="{FF2B5EF4-FFF2-40B4-BE49-F238E27FC236}">
              <a16:creationId xmlns:a16="http://schemas.microsoft.com/office/drawing/2014/main" xmlns="" id="{F76760C8-8D29-4A0A-8FC1-BDA819F2F8DB}"/>
            </a:ext>
          </a:extLst>
        </xdr:cNvPr>
        <xdr:cNvSpPr/>
      </xdr:nvSpPr>
      <xdr:spPr>
        <a:xfrm>
          <a:off x="8810625" y="25126950"/>
          <a:ext cx="2771775" cy="2390776"/>
        </a:xfrm>
        <a:prstGeom prst="wedgeEllipseCallout">
          <a:avLst>
            <a:gd name="adj1" fmla="val -53256"/>
            <a:gd name="adj2" fmla="val 4848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Sueldo abonado: (1) </a:t>
          </a:r>
          <a:r>
            <a:rPr lang="es-ES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14.107,50</a:t>
          </a:r>
        </a:p>
        <a:p>
          <a:pPr algn="l"/>
          <a:r>
            <a:rPr lang="es-ES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Cargas del mes</a:t>
          </a: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Aportes:                                0,00</a:t>
          </a: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Contribuciones:           2.079,00</a:t>
          </a:r>
        </a:p>
        <a:p>
          <a:pPr algn="l"/>
          <a:r>
            <a:rPr lang="es-ES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* Total  Nómina:     16.186,50</a:t>
          </a: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(1) </a:t>
          </a: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Sueldo abonado        14.107,50 +Salario Complem.   20.542,50</a:t>
          </a: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Total Percibido:        34.650,00</a:t>
          </a:r>
        </a:p>
      </xdr:txBody>
    </xdr:sp>
    <xdr:clientData/>
  </xdr:twoCellAnchor>
  <xdr:twoCellAnchor>
    <xdr:from>
      <xdr:col>9</xdr:col>
      <xdr:colOff>400049</xdr:colOff>
      <xdr:row>88</xdr:row>
      <xdr:rowOff>142875</xdr:rowOff>
    </xdr:from>
    <xdr:to>
      <xdr:col>12</xdr:col>
      <xdr:colOff>495299</xdr:colOff>
      <xdr:row>89</xdr:row>
      <xdr:rowOff>161925</xdr:rowOff>
    </xdr:to>
    <xdr:sp macro="" textlink="">
      <xdr:nvSpPr>
        <xdr:cNvPr id="115" name="Bocadillo: ovalado 114">
          <a:extLst>
            <a:ext uri="{FF2B5EF4-FFF2-40B4-BE49-F238E27FC236}">
              <a16:creationId xmlns:a16="http://schemas.microsoft.com/office/drawing/2014/main" xmlns="" id="{219BD968-166E-4E50-9DDC-87DE08CEFE11}"/>
            </a:ext>
          </a:extLst>
        </xdr:cNvPr>
        <xdr:cNvSpPr/>
      </xdr:nvSpPr>
      <xdr:spPr>
        <a:xfrm>
          <a:off x="9639299" y="20783550"/>
          <a:ext cx="2409825" cy="295275"/>
        </a:xfrm>
        <a:prstGeom prst="wedgeEllipseCallout">
          <a:avLst>
            <a:gd name="adj1" fmla="val -58734"/>
            <a:gd name="adj2" fmla="val 27542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34.650 * 6 % :  </a:t>
          </a:r>
          <a:r>
            <a:rPr lang="es-ES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2.079,00</a:t>
          </a:r>
          <a:endParaRPr lang="es-ES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19050</xdr:colOff>
      <xdr:row>105</xdr:row>
      <xdr:rowOff>66674</xdr:rowOff>
    </xdr:from>
    <xdr:to>
      <xdr:col>12</xdr:col>
      <xdr:colOff>752475</xdr:colOff>
      <xdr:row>111</xdr:row>
      <xdr:rowOff>266699</xdr:rowOff>
    </xdr:to>
    <xdr:sp macro="" textlink="">
      <xdr:nvSpPr>
        <xdr:cNvPr id="117" name="Bocadillo: ovalado 116">
          <a:extLst>
            <a:ext uri="{FF2B5EF4-FFF2-40B4-BE49-F238E27FC236}">
              <a16:creationId xmlns:a16="http://schemas.microsoft.com/office/drawing/2014/main" xmlns="" id="{C87202AD-7F6B-47E0-9F5C-991D75FC5E48}"/>
            </a:ext>
          </a:extLst>
        </xdr:cNvPr>
        <xdr:cNvSpPr/>
      </xdr:nvSpPr>
      <xdr:spPr>
        <a:xfrm>
          <a:off x="9258300" y="29394149"/>
          <a:ext cx="3048000" cy="2009775"/>
        </a:xfrm>
        <a:prstGeom prst="wedgeEllipseCallout">
          <a:avLst>
            <a:gd name="adj1" fmla="val -134871"/>
            <a:gd name="adj2" fmla="val 6211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El empleador</a:t>
          </a:r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concideró aplicar el 75% del Sueldo Neto que le hubiera correspondido al empleado de haber trabajado normalmente, en nuestro ejemplo 40.095,00 * 75 % : 30.071,25 como  suma NO REMUNERATIVA</a:t>
          </a:r>
        </a:p>
      </xdr:txBody>
    </xdr:sp>
    <xdr:clientData/>
  </xdr:twoCellAnchor>
  <xdr:twoCellAnchor>
    <xdr:from>
      <xdr:col>9</xdr:col>
      <xdr:colOff>38100</xdr:colOff>
      <xdr:row>91</xdr:row>
      <xdr:rowOff>47625</xdr:rowOff>
    </xdr:from>
    <xdr:to>
      <xdr:col>9</xdr:col>
      <xdr:colOff>85725</xdr:colOff>
      <xdr:row>92</xdr:row>
      <xdr:rowOff>266700</xdr:rowOff>
    </xdr:to>
    <xdr:sp macro="" textlink="">
      <xdr:nvSpPr>
        <xdr:cNvPr id="118" name="Cerrar llave 117">
          <a:extLst>
            <a:ext uri="{FF2B5EF4-FFF2-40B4-BE49-F238E27FC236}">
              <a16:creationId xmlns:a16="http://schemas.microsoft.com/office/drawing/2014/main" xmlns="" id="{336A1A88-CC34-4942-BD22-132079D4C0DE}"/>
            </a:ext>
          </a:extLst>
        </xdr:cNvPr>
        <xdr:cNvSpPr/>
      </xdr:nvSpPr>
      <xdr:spPr>
        <a:xfrm>
          <a:off x="8743950" y="25288875"/>
          <a:ext cx="47625" cy="5619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66675</xdr:colOff>
      <xdr:row>116</xdr:row>
      <xdr:rowOff>0</xdr:rowOff>
    </xdr:from>
    <xdr:to>
      <xdr:col>9</xdr:col>
      <xdr:colOff>219075</xdr:colOff>
      <xdr:row>117</xdr:row>
      <xdr:rowOff>257175</xdr:rowOff>
    </xdr:to>
    <xdr:sp macro="" textlink="">
      <xdr:nvSpPr>
        <xdr:cNvPr id="120" name="Cerrar llave 119">
          <a:extLst>
            <a:ext uri="{FF2B5EF4-FFF2-40B4-BE49-F238E27FC236}">
              <a16:creationId xmlns:a16="http://schemas.microsoft.com/office/drawing/2014/main" xmlns="" id="{D03EC909-F1AB-46A6-BBF3-31ED7D92A28E}"/>
            </a:ext>
          </a:extLst>
        </xdr:cNvPr>
        <xdr:cNvSpPr/>
      </xdr:nvSpPr>
      <xdr:spPr>
        <a:xfrm>
          <a:off x="9305925" y="27832050"/>
          <a:ext cx="152400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1019175</xdr:colOff>
      <xdr:row>112</xdr:row>
      <xdr:rowOff>180975</xdr:rowOff>
    </xdr:from>
    <xdr:to>
      <xdr:col>5</xdr:col>
      <xdr:colOff>285750</xdr:colOff>
      <xdr:row>118</xdr:row>
      <xdr:rowOff>57151</xdr:rowOff>
    </xdr:to>
    <xdr:sp macro="" textlink="">
      <xdr:nvSpPr>
        <xdr:cNvPr id="121" name="Bocadillo: ovalado 120">
          <a:extLst>
            <a:ext uri="{FF2B5EF4-FFF2-40B4-BE49-F238E27FC236}">
              <a16:creationId xmlns:a16="http://schemas.microsoft.com/office/drawing/2014/main" xmlns="" id="{19A7B051-B6F9-4988-8DEE-5807EA55EDCD}"/>
            </a:ext>
          </a:extLst>
        </xdr:cNvPr>
        <xdr:cNvSpPr/>
      </xdr:nvSpPr>
      <xdr:spPr>
        <a:xfrm>
          <a:off x="3476625" y="31661100"/>
          <a:ext cx="1876425" cy="1933576"/>
        </a:xfrm>
        <a:prstGeom prst="wedgeEllipseCallout">
          <a:avLst>
            <a:gd name="adj1" fmla="val 98390"/>
            <a:gd name="adj2" fmla="val 3667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Conforme Acta Acuerdo de</a:t>
          </a:r>
          <a:r>
            <a:rPr lang="es-ES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Reunión Tripartita, Adjunta a la Res. MTESS 397/20, sobre el monto así determinado deben abonarse Aportes a la  O.Social y Sindicato. </a:t>
          </a:r>
          <a:endParaRPr lang="es-ES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s-E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30,071,25 * 5 % :  </a:t>
          </a:r>
          <a:r>
            <a:rPr lang="es-ES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1,503,56</a:t>
          </a:r>
          <a:endParaRPr lang="es-ES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257175</xdr:colOff>
      <xdr:row>116</xdr:row>
      <xdr:rowOff>66675</xdr:rowOff>
    </xdr:from>
    <xdr:to>
      <xdr:col>6</xdr:col>
      <xdr:colOff>438150</xdr:colOff>
      <xdr:row>118</xdr:row>
      <xdr:rowOff>238125</xdr:rowOff>
    </xdr:to>
    <xdr:sp macro="" textlink="">
      <xdr:nvSpPr>
        <xdr:cNvPr id="122" name="Abrir llave 121">
          <a:extLst>
            <a:ext uri="{FF2B5EF4-FFF2-40B4-BE49-F238E27FC236}">
              <a16:creationId xmlns:a16="http://schemas.microsoft.com/office/drawing/2014/main" xmlns="" id="{EB1E84B3-65D1-4400-8345-71E3E505C5F7}"/>
            </a:ext>
          </a:extLst>
        </xdr:cNvPr>
        <xdr:cNvSpPr/>
      </xdr:nvSpPr>
      <xdr:spPr>
        <a:xfrm>
          <a:off x="6896100" y="27898725"/>
          <a:ext cx="180975" cy="72390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200025</xdr:colOff>
      <xdr:row>112</xdr:row>
      <xdr:rowOff>104775</xdr:rowOff>
    </xdr:from>
    <xdr:to>
      <xdr:col>12</xdr:col>
      <xdr:colOff>771525</xdr:colOff>
      <xdr:row>117</xdr:row>
      <xdr:rowOff>323849</xdr:rowOff>
    </xdr:to>
    <xdr:sp macro="" textlink="">
      <xdr:nvSpPr>
        <xdr:cNvPr id="124" name="Bocadillo: ovalado 123">
          <a:extLst>
            <a:ext uri="{FF2B5EF4-FFF2-40B4-BE49-F238E27FC236}">
              <a16:creationId xmlns:a16="http://schemas.microsoft.com/office/drawing/2014/main" xmlns="" id="{4C1242CA-0235-4916-8E40-273C3BD61253}"/>
            </a:ext>
          </a:extLst>
        </xdr:cNvPr>
        <xdr:cNvSpPr/>
      </xdr:nvSpPr>
      <xdr:spPr>
        <a:xfrm>
          <a:off x="10210800" y="31680150"/>
          <a:ext cx="2114550" cy="1933574"/>
        </a:xfrm>
        <a:prstGeom prst="wedgeEllipseCallout">
          <a:avLst>
            <a:gd name="adj1" fmla="val -80099"/>
            <a:gd name="adj2" fmla="val 3046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Conforme Acta Acuerdo</a:t>
          </a:r>
          <a:r>
            <a:rPr lang="es-ES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Tripartita adjunta a </a:t>
          </a:r>
          <a:r>
            <a:rPr lang="es-E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Resolución</a:t>
          </a:r>
          <a:r>
            <a:rPr lang="es-ES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397/2020, sobre el monto así determinado se deben abonar Contribuciones a la  O.Social  </a:t>
          </a:r>
        </a:p>
        <a:p>
          <a:pPr algn="l"/>
          <a:r>
            <a:rPr lang="es-ES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31.</a:t>
          </a:r>
          <a:r>
            <a:rPr lang="es-E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071,25 * 6% : </a:t>
          </a:r>
        </a:p>
        <a:p>
          <a:pPr algn="l"/>
          <a:r>
            <a:rPr lang="es-E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Total Contrib.:    </a:t>
          </a:r>
          <a:r>
            <a:rPr lang="es-ES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1.804,28</a:t>
          </a:r>
          <a:endParaRPr lang="es-ES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11</xdr:col>
      <xdr:colOff>381001</xdr:colOff>
      <xdr:row>110</xdr:row>
      <xdr:rowOff>304801</xdr:rowOff>
    </xdr:from>
    <xdr:to>
      <xdr:col>11</xdr:col>
      <xdr:colOff>485775</xdr:colOff>
      <xdr:row>112</xdr:row>
      <xdr:rowOff>104775</xdr:rowOff>
    </xdr:to>
    <xdr:cxnSp macro="">
      <xdr:nvCxnSpPr>
        <xdr:cNvPr id="126" name="Conector recto de flecha 125">
          <a:extLst>
            <a:ext uri="{FF2B5EF4-FFF2-40B4-BE49-F238E27FC236}">
              <a16:creationId xmlns:a16="http://schemas.microsoft.com/office/drawing/2014/main" xmlns="" id="{081B2710-62B0-4176-8417-876406FF8485}"/>
            </a:ext>
          </a:extLst>
        </xdr:cNvPr>
        <xdr:cNvCxnSpPr>
          <a:stCxn id="124" idx="0"/>
        </xdr:cNvCxnSpPr>
      </xdr:nvCxnSpPr>
      <xdr:spPr>
        <a:xfrm flipH="1" flipV="1">
          <a:off x="11163301" y="31194376"/>
          <a:ext cx="104774" cy="4857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552450</xdr:colOff>
      <xdr:row>123</xdr:row>
      <xdr:rowOff>123824</xdr:rowOff>
    </xdr:from>
    <xdr:to>
      <xdr:col>12</xdr:col>
      <xdr:colOff>752476</xdr:colOff>
      <xdr:row>141</xdr:row>
      <xdr:rowOff>180974</xdr:rowOff>
    </xdr:to>
    <xdr:sp macro="" textlink="">
      <xdr:nvSpPr>
        <xdr:cNvPr id="129" name="Bocadillo: ovalado 128">
          <a:extLst>
            <a:ext uri="{FF2B5EF4-FFF2-40B4-BE49-F238E27FC236}">
              <a16:creationId xmlns:a16="http://schemas.microsoft.com/office/drawing/2014/main" xmlns="" id="{5F42CCFC-C629-45C9-B26C-470EC12F6312}"/>
            </a:ext>
          </a:extLst>
        </xdr:cNvPr>
        <xdr:cNvSpPr/>
      </xdr:nvSpPr>
      <xdr:spPr>
        <a:xfrm>
          <a:off x="8686800" y="35471099"/>
          <a:ext cx="3619501" cy="3495675"/>
        </a:xfrm>
        <a:prstGeom prst="wedgeEllipseCallout">
          <a:avLst>
            <a:gd name="adj1" fmla="val -31789"/>
            <a:gd name="adj2" fmla="val -5580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Sueldo abonado: (1)    8.025,19</a:t>
          </a:r>
          <a:endParaRPr lang="es-ES" sz="1100" b="1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Cargas del mes:</a:t>
          </a: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Aportes:                         1.503,56       Contribuciones:            1.804,28</a:t>
          </a:r>
        </a:p>
        <a:p>
          <a:pPr algn="l"/>
          <a:r>
            <a:rPr lang="es-ES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*  Total  Nomina:      11.333,03</a:t>
          </a:r>
        </a:p>
        <a:p>
          <a:pPr algn="l"/>
          <a:endParaRPr lang="es-ES" sz="1100" b="1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(1)</a:t>
          </a:r>
        </a:p>
        <a:p>
          <a:pPr algn="l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Sueldo abonado, menor  a debido a reducción del 75% del sueldo Neto base.</a:t>
          </a:r>
        </a:p>
        <a:p>
          <a:r>
            <a:rPr lang="es-ES" sz="1100" b="0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Sueldo abonado            8.025,19   </a:t>
          </a:r>
        </a:p>
        <a:p>
          <a:r>
            <a:rPr lang="es-ES" sz="1100" b="0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+ Asistencia Anses      20.542,50</a:t>
          </a:r>
          <a:endParaRPr lang="es-ES">
            <a:effectLst/>
          </a:endParaRPr>
        </a:p>
        <a:p>
          <a:r>
            <a:rPr lang="es-ES" sz="11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Total</a:t>
          </a:r>
          <a:r>
            <a:rPr lang="es-ES" sz="1100" b="0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Percibido:          28.567,69</a:t>
          </a:r>
          <a:endParaRPr lang="es-ES">
            <a:effectLst/>
          </a:endParaRPr>
        </a:p>
        <a:p>
          <a:pPr algn="l"/>
          <a:endParaRPr lang="es-E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866775</xdr:colOff>
      <xdr:row>3</xdr:row>
      <xdr:rowOff>219075</xdr:rowOff>
    </xdr:to>
    <xdr:pic>
      <xdr:nvPicPr>
        <xdr:cNvPr id="31" name="3 Imagen" descr="quedate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7200" y="0"/>
          <a:ext cx="28670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R128"/>
  <sheetViews>
    <sheetView tabSelected="1" workbookViewId="0">
      <selection activeCell="B1" sqref="B1"/>
    </sheetView>
  </sheetViews>
  <sheetFormatPr baseColWidth="10" defaultColWidth="11.5703125" defaultRowHeight="15"/>
  <cols>
    <col min="1" max="1" width="6.85546875" style="1" customWidth="1"/>
    <col min="2" max="2" width="30" style="1" customWidth="1"/>
    <col min="3" max="3" width="15.7109375" style="1" customWidth="1"/>
    <col min="4" max="4" width="10.7109375" style="1" customWidth="1"/>
    <col min="5" max="5" width="12.7109375" style="1" customWidth="1"/>
    <col min="6" max="6" width="15.5703125" style="1" customWidth="1"/>
    <col min="7" max="7" width="15.7109375" style="1" customWidth="1"/>
    <col min="8" max="8" width="6.7109375" style="1" customWidth="1"/>
    <col min="9" max="9" width="16.5703125" style="1" customWidth="1"/>
    <col min="10" max="12" width="11.5703125" style="1"/>
    <col min="13" max="13" width="13.42578125" style="1" customWidth="1"/>
    <col min="14" max="14" width="11.5703125" style="70"/>
    <col min="15" max="16384" width="11.5703125" style="1"/>
  </cols>
  <sheetData>
    <row r="3" spans="2:11" ht="23.25" customHeight="1">
      <c r="B3" s="100" t="s">
        <v>73</v>
      </c>
      <c r="C3" s="100"/>
      <c r="D3" s="100"/>
      <c r="E3" s="100"/>
      <c r="F3" s="100"/>
      <c r="G3" s="100"/>
    </row>
    <row r="4" spans="2:11" ht="18.75" customHeight="1">
      <c r="B4" s="100"/>
      <c r="C4" s="100"/>
      <c r="D4" s="100"/>
      <c r="E4" s="100"/>
      <c r="F4" s="100"/>
      <c r="G4" s="100"/>
    </row>
    <row r="5" spans="2:11" ht="15" customHeight="1">
      <c r="C5" s="98"/>
      <c r="D5" s="99" t="s">
        <v>74</v>
      </c>
      <c r="E5" s="99"/>
    </row>
    <row r="6" spans="2:11" ht="15" customHeight="1"/>
    <row r="7" spans="2:11" ht="18.75" customHeight="1">
      <c r="B7" s="104" t="s">
        <v>52</v>
      </c>
      <c r="C7" s="104"/>
      <c r="D7" s="104"/>
      <c r="E7" s="104"/>
      <c r="F7" s="104"/>
      <c r="G7" s="104"/>
    </row>
    <row r="8" spans="2:11" ht="18.75" customHeight="1">
      <c r="B8" s="104"/>
      <c r="C8" s="104"/>
      <c r="D8" s="104"/>
      <c r="E8" s="104"/>
      <c r="F8" s="104"/>
      <c r="G8" s="104"/>
    </row>
    <row r="9" spans="2:11" ht="18.75" customHeight="1" thickBot="1">
      <c r="B9" s="81"/>
      <c r="C9" s="81"/>
      <c r="D9" s="81"/>
      <c r="E9" s="81"/>
      <c r="F9" s="81"/>
      <c r="G9" s="81"/>
    </row>
    <row r="10" spans="2:11" ht="25.5" customHeight="1" thickTop="1" thickBot="1">
      <c r="B10" s="2" t="s">
        <v>12</v>
      </c>
      <c r="C10" s="3" t="s">
        <v>13</v>
      </c>
      <c r="D10" s="3" t="s">
        <v>14</v>
      </c>
      <c r="E10" s="3" t="s">
        <v>16</v>
      </c>
      <c r="F10" s="3" t="s">
        <v>17</v>
      </c>
      <c r="G10" s="4" t="s">
        <v>18</v>
      </c>
      <c r="H10" s="25"/>
    </row>
    <row r="11" spans="2:11" ht="25.5" customHeight="1">
      <c r="B11" s="45" t="s">
        <v>1</v>
      </c>
      <c r="C11" s="5">
        <v>30</v>
      </c>
      <c r="D11" s="6">
        <f>E11/C11</f>
        <v>1333.3333333333333</v>
      </c>
      <c r="E11" s="7">
        <v>40000</v>
      </c>
      <c r="F11" s="8"/>
      <c r="G11" s="9"/>
      <c r="H11" s="25"/>
    </row>
    <row r="12" spans="2:11" ht="25.5" customHeight="1">
      <c r="B12" s="46" t="s">
        <v>2</v>
      </c>
      <c r="C12" s="10">
        <v>10</v>
      </c>
      <c r="D12" s="11">
        <v>500</v>
      </c>
      <c r="E12" s="12">
        <f>C12*D12</f>
        <v>5000</v>
      </c>
      <c r="F12" s="13"/>
      <c r="G12" s="14"/>
      <c r="H12" s="30"/>
    </row>
    <row r="13" spans="2:11" ht="25.5" customHeight="1">
      <c r="B13" s="46" t="s">
        <v>3</v>
      </c>
      <c r="C13" s="15">
        <v>0.1</v>
      </c>
      <c r="D13" s="11"/>
      <c r="E13" s="12">
        <f>SUM(E11:E12)*C13</f>
        <v>4500</v>
      </c>
      <c r="F13" s="13"/>
      <c r="G13" s="14"/>
      <c r="H13" s="30"/>
    </row>
    <row r="14" spans="2:11" ht="25.5" customHeight="1">
      <c r="B14" s="46" t="s">
        <v>4</v>
      </c>
      <c r="C14" s="15">
        <v>0.11</v>
      </c>
      <c r="D14" s="11"/>
      <c r="E14" s="13"/>
      <c r="F14" s="13"/>
      <c r="G14" s="16">
        <f>$E$34*C14</f>
        <v>5445</v>
      </c>
      <c r="H14" s="30"/>
    </row>
    <row r="15" spans="2:11" ht="31.5" customHeight="1">
      <c r="B15" s="46" t="s">
        <v>5</v>
      </c>
      <c r="C15" s="15">
        <v>0.03</v>
      </c>
      <c r="D15" s="11"/>
      <c r="E15" s="13"/>
      <c r="F15" s="13"/>
      <c r="G15" s="16">
        <f>$E$34*C15</f>
        <v>1485</v>
      </c>
      <c r="H15" s="31"/>
      <c r="I15" s="103" t="s">
        <v>65</v>
      </c>
      <c r="J15" s="103"/>
      <c r="K15" s="103"/>
    </row>
    <row r="16" spans="2:11" ht="25.5" customHeight="1">
      <c r="B16" s="46" t="s">
        <v>6</v>
      </c>
      <c r="C16" s="17">
        <v>2.5499999999999998E-2</v>
      </c>
      <c r="D16" s="11"/>
      <c r="E16" s="13"/>
      <c r="F16" s="13"/>
      <c r="G16" s="16">
        <f>$E$34*C16</f>
        <v>1262.25</v>
      </c>
      <c r="H16" s="31"/>
      <c r="I16" s="89">
        <v>20542.5</v>
      </c>
    </row>
    <row r="17" spans="2:11" ht="25.5" customHeight="1">
      <c r="B17" s="48" t="s">
        <v>11</v>
      </c>
      <c r="C17" s="17">
        <v>4.4999999999999997E-3</v>
      </c>
      <c r="D17" s="18"/>
      <c r="E17" s="19"/>
      <c r="F17" s="19"/>
      <c r="G17" s="16">
        <f>$E$34*C17</f>
        <v>222.74999999999997</v>
      </c>
      <c r="H17" s="31"/>
    </row>
    <row r="18" spans="2:11" ht="25.5" customHeight="1" thickBot="1">
      <c r="B18" s="20"/>
      <c r="C18" s="21" t="s">
        <v>7</v>
      </c>
      <c r="D18" s="22"/>
      <c r="E18" s="23">
        <f>SUM(E11:E16)</f>
        <v>49500</v>
      </c>
      <c r="F18" s="64">
        <f t="shared" ref="F18" si="0">SUM(F11:F16)</f>
        <v>0</v>
      </c>
      <c r="G18" s="65">
        <f>SUM(G11:G17)</f>
        <v>8415</v>
      </c>
      <c r="H18" s="31"/>
      <c r="I18" s="62"/>
    </row>
    <row r="19" spans="2:11" ht="25.5" customHeight="1" thickTop="1" thickBot="1">
      <c r="B19" s="43"/>
      <c r="C19" s="43"/>
      <c r="D19" s="43"/>
      <c r="E19" s="43"/>
      <c r="F19" s="43" t="s">
        <v>15</v>
      </c>
      <c r="G19" s="42">
        <f>E18+F18-G18</f>
        <v>41085</v>
      </c>
      <c r="H19" s="31"/>
      <c r="I19" s="26"/>
    </row>
    <row r="20" spans="2:11" ht="15.75" thickTop="1"/>
    <row r="23" spans="2:11" ht="15" customHeight="1">
      <c r="B23" s="106" t="s">
        <v>53</v>
      </c>
      <c r="C23" s="106"/>
      <c r="D23" s="106"/>
      <c r="E23" s="106"/>
      <c r="F23" s="106"/>
      <c r="G23" s="106"/>
      <c r="H23" s="105"/>
      <c r="I23" s="105"/>
    </row>
    <row r="24" spans="2:11" ht="15.75" customHeight="1" thickBot="1">
      <c r="B24" s="107"/>
      <c r="C24" s="107"/>
      <c r="D24" s="107"/>
      <c r="E24" s="107"/>
      <c r="F24" s="107"/>
      <c r="G24" s="107"/>
    </row>
    <row r="25" spans="2:11" ht="15.75" customHeight="1" thickTop="1" thickBot="1">
      <c r="B25" s="81"/>
      <c r="C25" s="81"/>
      <c r="D25" s="81"/>
      <c r="E25" s="81"/>
      <c r="F25" s="81"/>
      <c r="G25" s="81"/>
    </row>
    <row r="26" spans="2:11" ht="30" customHeight="1" thickTop="1" thickBot="1">
      <c r="B26" s="2" t="s">
        <v>12</v>
      </c>
      <c r="C26" s="3" t="s">
        <v>13</v>
      </c>
      <c r="D26" s="3" t="s">
        <v>14</v>
      </c>
      <c r="E26" s="3" t="s">
        <v>16</v>
      </c>
      <c r="F26" s="3" t="s">
        <v>17</v>
      </c>
      <c r="G26" s="4" t="s">
        <v>18</v>
      </c>
      <c r="H26" s="25"/>
    </row>
    <row r="27" spans="2:11" ht="27" customHeight="1">
      <c r="B27" s="45" t="s">
        <v>1</v>
      </c>
      <c r="C27" s="5">
        <v>30</v>
      </c>
      <c r="D27" s="6">
        <f>E27/C27</f>
        <v>1333.3333333333333</v>
      </c>
      <c r="E27" s="7">
        <v>40000</v>
      </c>
      <c r="F27" s="8"/>
      <c r="G27" s="9"/>
      <c r="H27" s="25"/>
    </row>
    <row r="28" spans="2:11" ht="27" customHeight="1">
      <c r="B28" s="46" t="s">
        <v>2</v>
      </c>
      <c r="C28" s="10">
        <v>10</v>
      </c>
      <c r="D28" s="11">
        <v>500</v>
      </c>
      <c r="E28" s="12">
        <f>C28*D28</f>
        <v>5000</v>
      </c>
      <c r="F28" s="13"/>
      <c r="G28" s="14"/>
      <c r="H28" s="30"/>
    </row>
    <row r="29" spans="2:11" ht="27" customHeight="1">
      <c r="B29" s="46" t="s">
        <v>3</v>
      </c>
      <c r="C29" s="15">
        <v>0.1</v>
      </c>
      <c r="D29" s="11"/>
      <c r="E29" s="12">
        <f>SUM(E27:E28)*C29</f>
        <v>4500</v>
      </c>
      <c r="F29" s="13"/>
      <c r="G29" s="14"/>
      <c r="H29" s="30"/>
    </row>
    <row r="30" spans="2:11" ht="27" customHeight="1">
      <c r="B30" s="46" t="s">
        <v>4</v>
      </c>
      <c r="C30" s="15">
        <v>0.11</v>
      </c>
      <c r="D30" s="11"/>
      <c r="E30" s="13"/>
      <c r="F30" s="13"/>
      <c r="G30" s="16">
        <f>$E$34*C30</f>
        <v>5445</v>
      </c>
      <c r="H30" s="30"/>
    </row>
    <row r="31" spans="2:11" ht="27" customHeight="1">
      <c r="B31" s="46" t="s">
        <v>5</v>
      </c>
      <c r="C31" s="15">
        <v>0.03</v>
      </c>
      <c r="D31" s="11"/>
      <c r="E31" s="13"/>
      <c r="F31" s="13"/>
      <c r="G31" s="16">
        <f t="shared" ref="G31:G33" si="1">$E$34*C31</f>
        <v>1485</v>
      </c>
      <c r="H31" s="31"/>
      <c r="I31" s="103"/>
      <c r="J31" s="103"/>
      <c r="K31" s="103"/>
    </row>
    <row r="32" spans="2:11" ht="27" customHeight="1">
      <c r="B32" s="46" t="s">
        <v>6</v>
      </c>
      <c r="C32" s="17">
        <v>2.5499999999999998E-2</v>
      </c>
      <c r="D32" s="11"/>
      <c r="E32" s="13"/>
      <c r="F32" s="13"/>
      <c r="G32" s="16">
        <f t="shared" si="1"/>
        <v>1262.25</v>
      </c>
      <c r="H32" s="31"/>
      <c r="I32" s="63"/>
    </row>
    <row r="33" spans="2:13" ht="27" customHeight="1">
      <c r="B33" s="48" t="s">
        <v>11</v>
      </c>
      <c r="C33" s="17">
        <v>4.4999999999999997E-3</v>
      </c>
      <c r="D33" s="18"/>
      <c r="E33" s="19"/>
      <c r="F33" s="19"/>
      <c r="G33" s="16">
        <f t="shared" si="1"/>
        <v>222.74999999999997</v>
      </c>
      <c r="H33" s="31"/>
    </row>
    <row r="34" spans="2:13" ht="27" customHeight="1" thickBot="1">
      <c r="B34" s="20"/>
      <c r="C34" s="21" t="s">
        <v>7</v>
      </c>
      <c r="D34" s="22"/>
      <c r="E34" s="23">
        <f>SUM(E27:E32)</f>
        <v>49500</v>
      </c>
      <c r="F34" s="23">
        <f t="shared" ref="F34" si="2">SUM(F27:F32)</f>
        <v>0</v>
      </c>
      <c r="G34" s="27">
        <f>SUM(G27:G33)</f>
        <v>8415</v>
      </c>
      <c r="H34" s="31"/>
      <c r="I34" s="62"/>
    </row>
    <row r="35" spans="2:13" ht="27" customHeight="1" thickTop="1" thickBot="1">
      <c r="B35" s="43"/>
      <c r="C35" s="43"/>
      <c r="D35" s="43"/>
      <c r="E35" s="43"/>
      <c r="F35" s="43" t="s">
        <v>15</v>
      </c>
      <c r="G35" s="42">
        <f>E34+F34-G34</f>
        <v>41085</v>
      </c>
      <c r="H35" s="31"/>
      <c r="I35" s="26"/>
    </row>
    <row r="36" spans="2:13" ht="15.75" thickTop="1">
      <c r="B36" s="24">
        <v>5</v>
      </c>
      <c r="C36" s="24"/>
      <c r="D36" s="25"/>
      <c r="E36" s="24"/>
      <c r="F36" s="57"/>
      <c r="G36" s="58"/>
      <c r="H36" s="31"/>
      <c r="I36" s="26"/>
    </row>
    <row r="37" spans="2:13">
      <c r="B37" s="24"/>
      <c r="C37" s="24"/>
      <c r="D37" s="25"/>
      <c r="E37" s="24"/>
      <c r="F37" s="25"/>
      <c r="G37" s="31"/>
      <c r="H37" s="31"/>
      <c r="I37" s="26"/>
    </row>
    <row r="38" spans="2:13" ht="15" customHeight="1">
      <c r="B38" s="108" t="s">
        <v>66</v>
      </c>
      <c r="C38" s="108"/>
      <c r="D38" s="108"/>
      <c r="E38" s="108"/>
      <c r="F38" s="108"/>
      <c r="G38" s="108"/>
      <c r="H38" s="108"/>
      <c r="I38" s="60"/>
    </row>
    <row r="39" spans="2:13" ht="15.75" customHeight="1">
      <c r="B39" s="108"/>
      <c r="C39" s="108"/>
      <c r="D39" s="108"/>
      <c r="E39" s="108"/>
      <c r="F39" s="108"/>
      <c r="G39" s="108"/>
      <c r="H39" s="108"/>
      <c r="I39" s="28" t="s">
        <v>8</v>
      </c>
    </row>
    <row r="40" spans="2:13" ht="15.75" customHeight="1" thickBot="1">
      <c r="B40" s="80"/>
      <c r="C40" s="80"/>
      <c r="D40" s="80"/>
      <c r="E40" s="80"/>
      <c r="F40" s="80"/>
      <c r="G40" s="80"/>
      <c r="H40" s="76"/>
      <c r="I40" s="76"/>
    </row>
    <row r="41" spans="2:13" ht="27" thickTop="1" thickBot="1">
      <c r="B41" s="77" t="s">
        <v>12</v>
      </c>
      <c r="C41" s="78" t="s">
        <v>22</v>
      </c>
      <c r="D41" s="78" t="s">
        <v>14</v>
      </c>
      <c r="E41" s="78" t="s">
        <v>16</v>
      </c>
      <c r="F41" s="78" t="s">
        <v>17</v>
      </c>
      <c r="G41" s="79" t="s">
        <v>18</v>
      </c>
      <c r="H41" s="32" t="s">
        <v>9</v>
      </c>
      <c r="I41" s="4" t="s">
        <v>19</v>
      </c>
    </row>
    <row r="42" spans="2:13" ht="21.75" customHeight="1">
      <c r="B42" s="45" t="s">
        <v>1</v>
      </c>
      <c r="C42" s="5">
        <v>30</v>
      </c>
      <c r="D42" s="6">
        <f>E42/C42</f>
        <v>1333.3333333333333</v>
      </c>
      <c r="E42" s="7">
        <v>40000</v>
      </c>
      <c r="F42" s="8"/>
      <c r="G42" s="9"/>
      <c r="H42" s="33"/>
      <c r="I42" s="9"/>
    </row>
    <row r="43" spans="2:13" ht="21.75" customHeight="1">
      <c r="B43" s="46" t="s">
        <v>2</v>
      </c>
      <c r="C43" s="10">
        <v>10</v>
      </c>
      <c r="D43" s="11">
        <v>500</v>
      </c>
      <c r="E43" s="12">
        <f>C43*D43</f>
        <v>5000</v>
      </c>
      <c r="F43" s="13"/>
      <c r="G43" s="14"/>
      <c r="H43" s="34"/>
      <c r="I43" s="14"/>
    </row>
    <row r="44" spans="2:13" ht="21.75" customHeight="1">
      <c r="B44" s="46" t="s">
        <v>3</v>
      </c>
      <c r="C44" s="15">
        <v>0.1</v>
      </c>
      <c r="D44" s="11"/>
      <c r="E44" s="12">
        <f>SUM(E42:E43)*C44</f>
        <v>4500</v>
      </c>
      <c r="F44" s="13"/>
      <c r="G44" s="14"/>
      <c r="H44" s="34"/>
      <c r="I44" s="14"/>
    </row>
    <row r="45" spans="2:13" ht="21.75" customHeight="1">
      <c r="B45" s="46" t="s">
        <v>4</v>
      </c>
      <c r="C45" s="15">
        <v>0.11</v>
      </c>
      <c r="D45" s="11"/>
      <c r="E45" s="13"/>
      <c r="F45" s="13"/>
      <c r="G45" s="16">
        <f>$E$52*C45</f>
        <v>5445</v>
      </c>
      <c r="H45" s="35">
        <v>0.1077</v>
      </c>
      <c r="I45" s="16">
        <f>($E$52-7003.68)*H45</f>
        <v>4576.8536640000002</v>
      </c>
    </row>
    <row r="46" spans="2:13" ht="21.75" customHeight="1">
      <c r="B46" s="46" t="s">
        <v>5</v>
      </c>
      <c r="C46" s="15">
        <v>0.03</v>
      </c>
      <c r="D46" s="11"/>
      <c r="E46" s="13"/>
      <c r="F46" s="13"/>
      <c r="G46" s="16">
        <f t="shared" ref="G46:G51" si="3">$E$52*C46</f>
        <v>1485</v>
      </c>
      <c r="H46" s="35">
        <v>1.5900000000000001E-2</v>
      </c>
      <c r="I46" s="16">
        <f>($E$52-7003.68)*H46</f>
        <v>675.69148800000005</v>
      </c>
      <c r="L46" s="102"/>
      <c r="M46" s="102"/>
    </row>
    <row r="47" spans="2:13" ht="21.75" customHeight="1">
      <c r="B47" s="46" t="s">
        <v>6</v>
      </c>
      <c r="C47" s="17">
        <v>2.5499999999999998E-2</v>
      </c>
      <c r="D47" s="11"/>
      <c r="E47" s="13"/>
      <c r="F47" s="13"/>
      <c r="G47" s="16">
        <f t="shared" si="3"/>
        <v>1262.25</v>
      </c>
      <c r="H47" s="35">
        <f>C47*2</f>
        <v>5.0999999999999997E-2</v>
      </c>
      <c r="I47" s="16">
        <f t="shared" ref="I47:I49" si="4">$E$52*H47</f>
        <v>2524.5</v>
      </c>
    </row>
    <row r="48" spans="2:13" ht="21.75" customHeight="1">
      <c r="B48" s="48" t="s">
        <v>11</v>
      </c>
      <c r="C48" s="17">
        <v>4.4999999999999997E-3</v>
      </c>
      <c r="D48" s="18"/>
      <c r="E48" s="19"/>
      <c r="F48" s="19"/>
      <c r="G48" s="16">
        <f t="shared" si="3"/>
        <v>222.74999999999997</v>
      </c>
      <c r="H48" s="35">
        <f>C48*2</f>
        <v>8.9999999999999993E-3</v>
      </c>
      <c r="I48" s="16">
        <f t="shared" si="4"/>
        <v>445.49999999999994</v>
      </c>
    </row>
    <row r="49" spans="2:14" ht="21.75" customHeight="1">
      <c r="B49" s="48" t="s">
        <v>10</v>
      </c>
      <c r="C49" s="29">
        <v>0.02</v>
      </c>
      <c r="D49" s="18"/>
      <c r="E49" s="19"/>
      <c r="F49" s="19"/>
      <c r="G49" s="16">
        <f t="shared" si="3"/>
        <v>990</v>
      </c>
      <c r="H49" s="35">
        <v>0</v>
      </c>
      <c r="I49" s="16">
        <f t="shared" si="4"/>
        <v>0</v>
      </c>
    </row>
    <row r="50" spans="2:14" ht="21.75" customHeight="1">
      <c r="B50" s="48" t="s">
        <v>21</v>
      </c>
      <c r="C50" s="29"/>
      <c r="D50" s="18"/>
      <c r="E50" s="19"/>
      <c r="F50" s="19"/>
      <c r="G50" s="16">
        <f t="shared" si="3"/>
        <v>0</v>
      </c>
      <c r="H50" s="35">
        <v>9.4000000000000004E-3</v>
      </c>
      <c r="I50" s="16">
        <f>($E$52-7003.68)*H50</f>
        <v>399.46540800000002</v>
      </c>
    </row>
    <row r="51" spans="2:14" ht="21.75" customHeight="1">
      <c r="B51" s="48" t="s">
        <v>20</v>
      </c>
      <c r="C51" s="29"/>
      <c r="D51" s="18"/>
      <c r="E51" s="19"/>
      <c r="F51" s="19"/>
      <c r="G51" s="16">
        <f t="shared" si="3"/>
        <v>0</v>
      </c>
      <c r="H51" s="35">
        <v>4.7E-2</v>
      </c>
      <c r="I51" s="16">
        <f>($E$52-7003.68)*H51</f>
        <v>1997.3270399999999</v>
      </c>
    </row>
    <row r="52" spans="2:14" ht="21.75" customHeight="1" thickBot="1">
      <c r="B52" s="20"/>
      <c r="C52" s="21" t="s">
        <v>7</v>
      </c>
      <c r="D52" s="22"/>
      <c r="E52" s="23">
        <f>SUM(E42:E47)</f>
        <v>49500</v>
      </c>
      <c r="F52" s="23">
        <f t="shared" ref="F52" si="5">SUM(F42:F47)</f>
        <v>0</v>
      </c>
      <c r="G52" s="67">
        <f>SUM(G42:G51)</f>
        <v>9405</v>
      </c>
      <c r="H52" s="36" t="s">
        <v>0</v>
      </c>
      <c r="I52" s="67">
        <f>SUM(I45:I51)</f>
        <v>10619.337600000001</v>
      </c>
    </row>
    <row r="53" spans="2:14" ht="24" customHeight="1" thickTop="1" thickBot="1">
      <c r="B53" s="43"/>
      <c r="C53" s="43"/>
      <c r="D53" s="43"/>
      <c r="E53" s="43"/>
      <c r="F53" s="43" t="s">
        <v>15</v>
      </c>
      <c r="G53" s="42">
        <f>E52+F52-G52</f>
        <v>40095</v>
      </c>
      <c r="H53" s="44" t="s">
        <v>23</v>
      </c>
      <c r="I53" s="94">
        <f>G52+G53+I52</f>
        <v>60119.337599999999</v>
      </c>
      <c r="J53" s="50"/>
    </row>
    <row r="54" spans="2:14" s="82" customFormat="1" ht="16.5" thickTop="1">
      <c r="C54" s="85"/>
      <c r="D54" s="85"/>
      <c r="E54" s="85"/>
      <c r="F54" s="85"/>
      <c r="G54" s="85"/>
      <c r="H54" s="85"/>
      <c r="I54" s="85"/>
      <c r="J54" s="83"/>
      <c r="N54" s="84"/>
    </row>
    <row r="55" spans="2:14">
      <c r="B55" s="92" t="s">
        <v>67</v>
      </c>
      <c r="C55" s="24"/>
      <c r="D55" s="25"/>
      <c r="E55" s="24"/>
      <c r="F55" s="57"/>
      <c r="G55" s="58"/>
      <c r="H55" s="68"/>
      <c r="I55" s="69"/>
      <c r="J55" s="50"/>
    </row>
    <row r="56" spans="2:14">
      <c r="B56" s="92" t="s">
        <v>68</v>
      </c>
      <c r="C56" s="24"/>
      <c r="D56" s="25"/>
      <c r="E56" s="24"/>
      <c r="F56" s="57"/>
      <c r="G56" s="58"/>
      <c r="H56" s="68"/>
      <c r="I56" s="69"/>
      <c r="J56" s="50"/>
    </row>
    <row r="57" spans="2:14">
      <c r="B57" s="24"/>
      <c r="C57" s="24"/>
      <c r="D57" s="25"/>
      <c r="E57" s="24"/>
      <c r="F57" s="57"/>
      <c r="G57" s="58"/>
      <c r="H57" s="68"/>
      <c r="I57" s="69"/>
      <c r="J57" s="50"/>
    </row>
    <row r="58" spans="2:14" ht="18.75">
      <c r="B58" s="66" t="s">
        <v>54</v>
      </c>
      <c r="G58" s="49"/>
      <c r="J58" s="49"/>
    </row>
    <row r="59" spans="2:14" ht="15" customHeight="1">
      <c r="B59" s="66" t="s">
        <v>57</v>
      </c>
      <c r="C59" s="66"/>
      <c r="D59" s="66"/>
      <c r="E59" s="66"/>
      <c r="F59" s="66"/>
      <c r="G59" s="66"/>
      <c r="H59" s="66"/>
      <c r="I59" s="66"/>
    </row>
    <row r="60" spans="2:14" ht="15" customHeight="1">
      <c r="B60" s="66" t="s">
        <v>69</v>
      </c>
      <c r="C60" s="66"/>
      <c r="D60" s="66"/>
      <c r="E60" s="66"/>
      <c r="F60" s="66"/>
      <c r="G60" s="66"/>
      <c r="H60" s="66"/>
      <c r="I60" s="66"/>
    </row>
    <row r="61" spans="2:14" ht="15.75" customHeight="1" thickBot="1">
      <c r="B61" s="72"/>
      <c r="C61" s="72"/>
      <c r="D61" s="72"/>
      <c r="E61" s="72"/>
      <c r="F61" s="72"/>
      <c r="G61" s="73"/>
      <c r="H61" s="73"/>
      <c r="I61" s="73"/>
    </row>
    <row r="62" spans="2:14" ht="27" thickTop="1" thickBot="1">
      <c r="B62" s="2" t="s">
        <v>12</v>
      </c>
      <c r="C62" s="3" t="s">
        <v>22</v>
      </c>
      <c r="D62" s="3" t="s">
        <v>14</v>
      </c>
      <c r="E62" s="3" t="s">
        <v>16</v>
      </c>
      <c r="F62" s="3" t="s">
        <v>17</v>
      </c>
      <c r="G62" s="4" t="s">
        <v>18</v>
      </c>
      <c r="H62" s="32" t="s">
        <v>9</v>
      </c>
      <c r="I62" s="4" t="s">
        <v>19</v>
      </c>
    </row>
    <row r="63" spans="2:14" ht="27" customHeight="1">
      <c r="B63" s="45" t="s">
        <v>1</v>
      </c>
      <c r="C63" s="5">
        <v>30</v>
      </c>
      <c r="D63" s="6">
        <f>E63/C63</f>
        <v>1333.3333333333333</v>
      </c>
      <c r="E63" s="7">
        <v>40000</v>
      </c>
      <c r="F63" s="8"/>
      <c r="G63" s="9"/>
      <c r="H63" s="33"/>
      <c r="I63" s="9"/>
    </row>
    <row r="64" spans="2:14" ht="27" customHeight="1">
      <c r="B64" s="46" t="s">
        <v>2</v>
      </c>
      <c r="C64" s="10">
        <v>10</v>
      </c>
      <c r="D64" s="11">
        <v>500</v>
      </c>
      <c r="E64" s="12">
        <f>C64*D64</f>
        <v>5000</v>
      </c>
      <c r="F64" s="13"/>
      <c r="G64" s="14"/>
      <c r="H64" s="34"/>
      <c r="I64" s="14"/>
    </row>
    <row r="65" spans="2:18" ht="27" customHeight="1">
      <c r="B65" s="46" t="s">
        <v>3</v>
      </c>
      <c r="C65" s="15">
        <v>0.1</v>
      </c>
      <c r="D65" s="11"/>
      <c r="E65" s="12">
        <f>SUM(E63:E64)*C65</f>
        <v>4500</v>
      </c>
      <c r="F65" s="13"/>
      <c r="G65" s="14"/>
      <c r="H65" s="34"/>
      <c r="I65" s="14"/>
    </row>
    <row r="66" spans="2:18" ht="27" customHeight="1">
      <c r="B66" s="47" t="s">
        <v>25</v>
      </c>
      <c r="C66" s="37"/>
      <c r="D66" s="38"/>
      <c r="E66" s="39"/>
      <c r="F66" s="40"/>
      <c r="G66" s="41">
        <f>E74/2*0.83</f>
        <v>20542.5</v>
      </c>
      <c r="H66" s="34"/>
      <c r="I66" s="14"/>
    </row>
    <row r="67" spans="2:18" ht="27" customHeight="1">
      <c r="B67" s="46" t="s">
        <v>4</v>
      </c>
      <c r="C67" s="15">
        <v>0.11</v>
      </c>
      <c r="D67" s="11"/>
      <c r="E67" s="13"/>
      <c r="F67" s="13"/>
      <c r="G67" s="16">
        <f>$E$74*C67</f>
        <v>5445</v>
      </c>
      <c r="H67" s="35">
        <v>0.1077</v>
      </c>
      <c r="I67" s="16">
        <f>($E$74-7003.68)*H67</f>
        <v>4576.8536640000002</v>
      </c>
    </row>
    <row r="68" spans="2:18" ht="27" customHeight="1">
      <c r="B68" s="46" t="s">
        <v>5</v>
      </c>
      <c r="C68" s="15">
        <v>0.03</v>
      </c>
      <c r="D68" s="11"/>
      <c r="E68" s="13"/>
      <c r="F68" s="13"/>
      <c r="G68" s="16">
        <f t="shared" ref="G68:G73" si="6">$E$74*C68</f>
        <v>1485</v>
      </c>
      <c r="H68" s="35">
        <v>1.5900000000000001E-2</v>
      </c>
      <c r="I68" s="16">
        <f>($E$74-7003.68)*H68</f>
        <v>675.69148800000005</v>
      </c>
    </row>
    <row r="69" spans="2:18" ht="27" customHeight="1">
      <c r="B69" s="46" t="s">
        <v>6</v>
      </c>
      <c r="C69" s="17">
        <v>2.5499999999999998E-2</v>
      </c>
      <c r="D69" s="11"/>
      <c r="E69" s="13"/>
      <c r="F69" s="13"/>
      <c r="G69" s="16">
        <f t="shared" si="6"/>
        <v>1262.25</v>
      </c>
      <c r="H69" s="35">
        <f>C69*2</f>
        <v>5.0999999999999997E-2</v>
      </c>
      <c r="I69" s="16">
        <f t="shared" ref="I69:I71" si="7">$E$74*H69</f>
        <v>2524.5</v>
      </c>
    </row>
    <row r="70" spans="2:18" ht="27" customHeight="1">
      <c r="B70" s="48" t="s">
        <v>11</v>
      </c>
      <c r="C70" s="17">
        <v>4.4999999999999997E-3</v>
      </c>
      <c r="D70" s="18"/>
      <c r="E70" s="19"/>
      <c r="F70" s="19"/>
      <c r="G70" s="16">
        <f t="shared" si="6"/>
        <v>222.74999999999997</v>
      </c>
      <c r="H70" s="35">
        <f>C70*2</f>
        <v>8.9999999999999993E-3</v>
      </c>
      <c r="I70" s="16">
        <f t="shared" si="7"/>
        <v>445.49999999999994</v>
      </c>
    </row>
    <row r="71" spans="2:18" ht="27" customHeight="1">
      <c r="B71" s="48" t="s">
        <v>10</v>
      </c>
      <c r="C71" s="29">
        <v>0.02</v>
      </c>
      <c r="D71" s="18"/>
      <c r="E71" s="19"/>
      <c r="F71" s="19"/>
      <c r="G71" s="16">
        <f t="shared" si="6"/>
        <v>990</v>
      </c>
      <c r="H71" s="35">
        <v>0</v>
      </c>
      <c r="I71" s="16">
        <f t="shared" si="7"/>
        <v>0</v>
      </c>
    </row>
    <row r="72" spans="2:18" ht="27" customHeight="1">
      <c r="B72" s="48" t="s">
        <v>21</v>
      </c>
      <c r="C72" s="29"/>
      <c r="D72" s="18"/>
      <c r="E72" s="19"/>
      <c r="F72" s="19"/>
      <c r="G72" s="16">
        <f t="shared" si="6"/>
        <v>0</v>
      </c>
      <c r="H72" s="35">
        <v>9.4000000000000004E-3</v>
      </c>
      <c r="I72" s="16">
        <f>($E$74-7003.68)*H72</f>
        <v>399.46540800000002</v>
      </c>
    </row>
    <row r="73" spans="2:18" ht="27" customHeight="1">
      <c r="B73" s="48" t="s">
        <v>20</v>
      </c>
      <c r="C73" s="29"/>
      <c r="D73" s="18"/>
      <c r="E73" s="19"/>
      <c r="F73" s="19"/>
      <c r="G73" s="16">
        <f t="shared" si="6"/>
        <v>0</v>
      </c>
      <c r="H73" s="35">
        <v>4.7E-2</v>
      </c>
      <c r="I73" s="16">
        <f>($E$74-7003.68)*H73</f>
        <v>1997.3270399999999</v>
      </c>
    </row>
    <row r="74" spans="2:18" ht="27" customHeight="1" thickBot="1">
      <c r="B74" s="20"/>
      <c r="C74" s="21" t="s">
        <v>7</v>
      </c>
      <c r="D74" s="22"/>
      <c r="E74" s="23">
        <f>SUM(E63:E69)</f>
        <v>49500</v>
      </c>
      <c r="F74" s="23">
        <f>SUM(F63:F69)</f>
        <v>0</v>
      </c>
      <c r="G74" s="27">
        <f>SUM(G66:G73)</f>
        <v>29947.5</v>
      </c>
      <c r="H74" s="36" t="s">
        <v>0</v>
      </c>
      <c r="I74" s="27">
        <f>SUM(I67:I73)</f>
        <v>10619.337600000001</v>
      </c>
    </row>
    <row r="75" spans="2:18" ht="27" customHeight="1" thickTop="1" thickBot="1">
      <c r="B75" s="43"/>
      <c r="C75" s="43"/>
      <c r="D75" s="43"/>
      <c r="E75" s="43"/>
      <c r="F75" s="43" t="s">
        <v>15</v>
      </c>
      <c r="G75" s="42">
        <f>E74+F74-G74</f>
        <v>19552.5</v>
      </c>
      <c r="H75" s="44" t="s">
        <v>23</v>
      </c>
      <c r="I75" s="94">
        <f>G75+G74+I74-G66</f>
        <v>39576.837599999999</v>
      </c>
      <c r="K75" s="49"/>
    </row>
    <row r="76" spans="2:18" ht="27" customHeight="1" thickTop="1">
      <c r="B76" s="101" t="s">
        <v>58</v>
      </c>
      <c r="C76" s="101"/>
      <c r="D76" s="101"/>
      <c r="E76" s="101"/>
      <c r="F76" s="101"/>
      <c r="G76" s="101"/>
      <c r="H76" s="101"/>
      <c r="I76" s="101"/>
    </row>
    <row r="77" spans="2:18" ht="27" customHeight="1">
      <c r="B77" s="86" t="s">
        <v>71</v>
      </c>
      <c r="C77" s="74"/>
      <c r="D77" s="93"/>
      <c r="E77" s="87"/>
      <c r="F77" s="87"/>
      <c r="G77" s="74"/>
      <c r="H77" s="74"/>
      <c r="I77" s="74"/>
      <c r="K77" s="49"/>
    </row>
    <row r="78" spans="2:18">
      <c r="I78" s="49"/>
      <c r="K78" s="49"/>
    </row>
    <row r="79" spans="2:18" ht="18.75">
      <c r="B79" s="66" t="s">
        <v>56</v>
      </c>
      <c r="G79" s="49"/>
    </row>
    <row r="80" spans="2:18" ht="18.75">
      <c r="B80" s="66" t="s">
        <v>55</v>
      </c>
      <c r="C80" s="66"/>
      <c r="D80" s="66"/>
      <c r="E80" s="66"/>
      <c r="F80" s="66"/>
      <c r="G80" s="71"/>
      <c r="H80" s="71"/>
      <c r="I80" s="71"/>
      <c r="J80" s="71"/>
      <c r="K80" s="61"/>
      <c r="L80" s="61"/>
      <c r="M80" s="61"/>
      <c r="N80" s="95"/>
      <c r="O80" s="61"/>
      <c r="P80" s="61"/>
      <c r="Q80" s="61"/>
      <c r="R80" s="61"/>
    </row>
    <row r="81" spans="2:10" ht="18.75">
      <c r="B81" s="66" t="s">
        <v>59</v>
      </c>
      <c r="C81" s="66"/>
      <c r="D81" s="66"/>
      <c r="E81" s="66"/>
      <c r="F81" s="66"/>
      <c r="G81" s="71"/>
      <c r="H81" s="71"/>
      <c r="I81" s="71"/>
      <c r="J81" s="71"/>
    </row>
    <row r="82" spans="2:10" ht="19.5" thickBot="1">
      <c r="B82" s="73"/>
      <c r="C82" s="75"/>
      <c r="D82" s="75"/>
      <c r="E82" s="75"/>
      <c r="F82" s="75"/>
      <c r="G82" s="73"/>
      <c r="H82" s="73"/>
      <c r="I82" s="73"/>
    </row>
    <row r="83" spans="2:10" ht="27.75" customHeight="1" thickTop="1" thickBot="1">
      <c r="B83" s="2" t="s">
        <v>12</v>
      </c>
      <c r="C83" s="3" t="s">
        <v>22</v>
      </c>
      <c r="D83" s="3" t="s">
        <v>14</v>
      </c>
      <c r="E83" s="3" t="s">
        <v>16</v>
      </c>
      <c r="F83" s="3" t="s">
        <v>17</v>
      </c>
      <c r="G83" s="4" t="s">
        <v>18</v>
      </c>
      <c r="H83" s="32" t="s">
        <v>9</v>
      </c>
      <c r="I83" s="4" t="s">
        <v>19</v>
      </c>
    </row>
    <row r="84" spans="2:10" ht="27" customHeight="1">
      <c r="B84" s="45" t="s">
        <v>1</v>
      </c>
      <c r="C84" s="5">
        <v>30</v>
      </c>
      <c r="D84" s="6">
        <f>E84/C84</f>
        <v>1333.3333333333333</v>
      </c>
      <c r="E84" s="7">
        <v>40000</v>
      </c>
      <c r="F84" s="8"/>
      <c r="G84" s="9"/>
      <c r="H84" s="33"/>
      <c r="I84" s="9"/>
    </row>
    <row r="85" spans="2:10" ht="27" customHeight="1">
      <c r="B85" s="46" t="s">
        <v>2</v>
      </c>
      <c r="C85" s="10">
        <v>10</v>
      </c>
      <c r="D85" s="11">
        <v>500</v>
      </c>
      <c r="E85" s="12">
        <f>C85*D85</f>
        <v>5000</v>
      </c>
      <c r="F85" s="13"/>
      <c r="G85" s="14"/>
      <c r="H85" s="34"/>
      <c r="I85" s="14"/>
    </row>
    <row r="86" spans="2:10" ht="27" customHeight="1">
      <c r="B86" s="46" t="s">
        <v>3</v>
      </c>
      <c r="C86" s="15">
        <v>0.1</v>
      </c>
      <c r="D86" s="11"/>
      <c r="E86" s="12">
        <f>SUM(E84:E85)*C86</f>
        <v>4500</v>
      </c>
      <c r="F86" s="13"/>
      <c r="G86" s="14"/>
      <c r="H86" s="34"/>
      <c r="I86" s="14"/>
    </row>
    <row r="87" spans="2:10" ht="27" customHeight="1">
      <c r="B87" s="46" t="s">
        <v>24</v>
      </c>
      <c r="C87" s="5">
        <v>30</v>
      </c>
      <c r="D87" s="11"/>
      <c r="E87" s="12">
        <f>-SUM(E84:E86)/30*C87</f>
        <v>-49500</v>
      </c>
      <c r="F87" s="13"/>
      <c r="G87" s="14"/>
      <c r="H87" s="34"/>
      <c r="I87" s="14"/>
    </row>
    <row r="88" spans="2:10" ht="27" customHeight="1">
      <c r="B88" s="46" t="s">
        <v>70</v>
      </c>
      <c r="C88" s="5">
        <v>30</v>
      </c>
      <c r="D88" s="11"/>
      <c r="E88" s="12"/>
      <c r="F88" s="39">
        <f>-E87/30*C88*0.7</f>
        <v>34650</v>
      </c>
      <c r="G88" s="14"/>
      <c r="H88" s="34"/>
      <c r="I88" s="14"/>
    </row>
    <row r="89" spans="2:10" ht="27" customHeight="1">
      <c r="B89" s="47" t="s">
        <v>25</v>
      </c>
      <c r="C89" s="37"/>
      <c r="D89" s="38"/>
      <c r="E89" s="39"/>
      <c r="F89" s="40"/>
      <c r="G89" s="41">
        <f>-E87/2*0.83</f>
        <v>20542.5</v>
      </c>
      <c r="H89" s="34"/>
      <c r="I89" s="14"/>
    </row>
    <row r="90" spans="2:10" ht="27" customHeight="1">
      <c r="B90" s="46" t="s">
        <v>4</v>
      </c>
      <c r="C90" s="15">
        <v>0.11</v>
      </c>
      <c r="D90" s="11"/>
      <c r="E90" s="13"/>
      <c r="F90" s="13"/>
      <c r="G90" s="16">
        <f>$E$97*C90</f>
        <v>0</v>
      </c>
      <c r="H90" s="35">
        <v>0.1077</v>
      </c>
      <c r="I90" s="16">
        <f>$E$97*H90</f>
        <v>0</v>
      </c>
    </row>
    <row r="91" spans="2:10" ht="27" customHeight="1">
      <c r="B91" s="46" t="s">
        <v>5</v>
      </c>
      <c r="C91" s="15">
        <v>0.03</v>
      </c>
      <c r="D91" s="11"/>
      <c r="E91" s="13"/>
      <c r="F91" s="13"/>
      <c r="G91" s="16">
        <f t="shared" ref="G91:G96" si="8">$E$97*C91</f>
        <v>0</v>
      </c>
      <c r="H91" s="35">
        <v>1.5900000000000001E-2</v>
      </c>
      <c r="I91" s="16">
        <f>$E$97*H91</f>
        <v>0</v>
      </c>
    </row>
    <row r="92" spans="2:10" ht="27" customHeight="1">
      <c r="B92" s="46" t="s">
        <v>6</v>
      </c>
      <c r="C92" s="17">
        <v>2.5499999999999998E-2</v>
      </c>
      <c r="D92" s="11"/>
      <c r="E92" s="13"/>
      <c r="F92" s="13"/>
      <c r="G92" s="16">
        <f t="shared" si="8"/>
        <v>0</v>
      </c>
      <c r="H92" s="35">
        <f>C92*2</f>
        <v>5.0999999999999997E-2</v>
      </c>
      <c r="I92" s="16">
        <f>$F$97*H92</f>
        <v>1767.1499999999999</v>
      </c>
    </row>
    <row r="93" spans="2:10" ht="27" customHeight="1">
      <c r="B93" s="48" t="s">
        <v>11</v>
      </c>
      <c r="C93" s="17">
        <v>4.4999999999999997E-3</v>
      </c>
      <c r="D93" s="18"/>
      <c r="E93" s="19"/>
      <c r="F93" s="19"/>
      <c r="G93" s="16">
        <f t="shared" si="8"/>
        <v>0</v>
      </c>
      <c r="H93" s="35">
        <f>C93*2</f>
        <v>8.9999999999999993E-3</v>
      </c>
      <c r="I93" s="16">
        <f>$F$97*H93</f>
        <v>311.84999999999997</v>
      </c>
    </row>
    <row r="94" spans="2:10" ht="27" customHeight="1">
      <c r="B94" s="48" t="s">
        <v>10</v>
      </c>
      <c r="C94" s="29">
        <v>0.02</v>
      </c>
      <c r="D94" s="18"/>
      <c r="E94" s="19"/>
      <c r="F94" s="19"/>
      <c r="G94" s="16">
        <f t="shared" si="8"/>
        <v>0</v>
      </c>
      <c r="H94" s="35">
        <v>0</v>
      </c>
      <c r="I94" s="16">
        <f t="shared" ref="I94:I96" si="9">$E$97*H94</f>
        <v>0</v>
      </c>
    </row>
    <row r="95" spans="2:10" ht="27" customHeight="1">
      <c r="B95" s="48" t="s">
        <v>21</v>
      </c>
      <c r="C95" s="29"/>
      <c r="D95" s="18"/>
      <c r="E95" s="19"/>
      <c r="F95" s="19"/>
      <c r="G95" s="16">
        <f t="shared" si="8"/>
        <v>0</v>
      </c>
      <c r="H95" s="35">
        <v>9.4000000000000004E-3</v>
      </c>
      <c r="I95" s="16">
        <f t="shared" si="9"/>
        <v>0</v>
      </c>
    </row>
    <row r="96" spans="2:10" ht="27" customHeight="1">
      <c r="B96" s="48" t="s">
        <v>20</v>
      </c>
      <c r="C96" s="29"/>
      <c r="D96" s="18"/>
      <c r="E96" s="19"/>
      <c r="F96" s="19"/>
      <c r="G96" s="16">
        <f t="shared" si="8"/>
        <v>0</v>
      </c>
      <c r="H96" s="35">
        <v>4.7E-2</v>
      </c>
      <c r="I96" s="16">
        <f t="shared" si="9"/>
        <v>0</v>
      </c>
    </row>
    <row r="97" spans="2:16" ht="27" customHeight="1" thickBot="1">
      <c r="B97" s="20"/>
      <c r="C97" s="21" t="s">
        <v>7</v>
      </c>
      <c r="D97" s="22"/>
      <c r="E97" s="23">
        <f>SUM(E84:E92)</f>
        <v>0</v>
      </c>
      <c r="F97" s="23">
        <f>SUM(F84:F92)</f>
        <v>34650</v>
      </c>
      <c r="G97" s="27">
        <f>SUM(G89:G96)</f>
        <v>20542.5</v>
      </c>
      <c r="H97" s="36" t="s">
        <v>0</v>
      </c>
      <c r="I97" s="27">
        <f>SUM(I90:I96)</f>
        <v>2079</v>
      </c>
    </row>
    <row r="98" spans="2:16" ht="27" customHeight="1" thickTop="1" thickBot="1">
      <c r="B98" s="43"/>
      <c r="C98" s="43"/>
      <c r="D98" s="43"/>
      <c r="E98" s="43"/>
      <c r="F98" s="43" t="s">
        <v>15</v>
      </c>
      <c r="G98" s="42">
        <f>F97-G97</f>
        <v>14107.5</v>
      </c>
      <c r="H98" s="44" t="s">
        <v>23</v>
      </c>
      <c r="I98" s="94">
        <f>G98+G97+I97-G89</f>
        <v>16186.5</v>
      </c>
    </row>
    <row r="99" spans="2:16" ht="21.75" customHeight="1" thickTop="1">
      <c r="B99" s="101" t="s">
        <v>61</v>
      </c>
      <c r="C99" s="101"/>
      <c r="D99" s="101"/>
      <c r="E99" s="101"/>
      <c r="F99" s="101"/>
      <c r="G99" s="101"/>
      <c r="H99" s="101"/>
      <c r="I99" s="101"/>
      <c r="J99" s="74"/>
      <c r="K99" s="74"/>
      <c r="L99" s="74"/>
      <c r="M99" s="74"/>
      <c r="N99" s="96"/>
      <c r="O99" s="74"/>
      <c r="P99" s="74"/>
    </row>
    <row r="100" spans="2:16" ht="21.75" customHeight="1">
      <c r="B100" s="101" t="s">
        <v>62</v>
      </c>
      <c r="C100" s="101"/>
      <c r="D100" s="101"/>
      <c r="E100" s="101"/>
      <c r="F100" s="101"/>
      <c r="G100" s="101"/>
      <c r="H100" s="101"/>
      <c r="I100" s="101"/>
      <c r="J100" s="74"/>
      <c r="K100" s="74"/>
      <c r="L100" s="74"/>
      <c r="M100" s="74"/>
      <c r="N100" s="96"/>
      <c r="O100" s="74"/>
      <c r="P100" s="74"/>
    </row>
    <row r="101" spans="2:16" ht="21.75" customHeight="1">
      <c r="B101" s="86" t="s">
        <v>71</v>
      </c>
      <c r="C101" s="74"/>
      <c r="D101" s="87"/>
      <c r="F101" s="87"/>
      <c r="G101" s="88"/>
      <c r="H101" s="59"/>
      <c r="I101" s="59"/>
    </row>
    <row r="102" spans="2:16">
      <c r="B102" s="59"/>
      <c r="C102" s="59"/>
      <c r="D102" s="59"/>
      <c r="E102" s="59"/>
      <c r="F102" s="59"/>
      <c r="G102" s="59"/>
      <c r="H102" s="59"/>
      <c r="I102" s="59"/>
    </row>
    <row r="103" spans="2:16">
      <c r="I103" s="49"/>
    </row>
    <row r="104" spans="2:16" ht="18.75">
      <c r="B104" s="66" t="s">
        <v>60</v>
      </c>
      <c r="G104" s="49"/>
    </row>
    <row r="105" spans="2:16" ht="18.75">
      <c r="B105" s="66" t="s">
        <v>55</v>
      </c>
      <c r="C105" s="66"/>
      <c r="D105" s="66"/>
      <c r="E105" s="66"/>
      <c r="F105" s="66"/>
      <c r="G105" s="71"/>
      <c r="H105" s="71"/>
      <c r="I105" s="71"/>
    </row>
    <row r="106" spans="2:16" ht="18.75">
      <c r="B106" s="66" t="s">
        <v>63</v>
      </c>
      <c r="C106" s="66"/>
      <c r="D106" s="66"/>
      <c r="E106" s="66"/>
      <c r="F106" s="66"/>
      <c r="G106" s="71"/>
      <c r="H106" s="71"/>
      <c r="I106" s="71"/>
    </row>
    <row r="107" spans="2:16" ht="15.75" thickBot="1"/>
    <row r="108" spans="2:16" ht="27" thickTop="1" thickBot="1">
      <c r="B108" s="2" t="s">
        <v>12</v>
      </c>
      <c r="C108" s="3" t="s">
        <v>22</v>
      </c>
      <c r="D108" s="3" t="s">
        <v>14</v>
      </c>
      <c r="E108" s="3" t="s">
        <v>16</v>
      </c>
      <c r="F108" s="3" t="s">
        <v>17</v>
      </c>
      <c r="G108" s="4" t="s">
        <v>18</v>
      </c>
      <c r="H108" s="32" t="s">
        <v>9</v>
      </c>
      <c r="I108" s="4" t="s">
        <v>19</v>
      </c>
    </row>
    <row r="109" spans="2:16" ht="27" customHeight="1">
      <c r="B109" s="45" t="s">
        <v>1</v>
      </c>
      <c r="C109" s="5">
        <v>30</v>
      </c>
      <c r="D109" s="6">
        <f>E109/C109</f>
        <v>1333.3333333333333</v>
      </c>
      <c r="E109" s="7">
        <v>40000</v>
      </c>
      <c r="F109" s="8"/>
      <c r="G109" s="9"/>
      <c r="H109" s="33"/>
      <c r="I109" s="9"/>
    </row>
    <row r="110" spans="2:16" ht="27" customHeight="1">
      <c r="B110" s="46" t="s">
        <v>2</v>
      </c>
      <c r="C110" s="10">
        <v>10</v>
      </c>
      <c r="D110" s="11">
        <v>500</v>
      </c>
      <c r="E110" s="12">
        <f>C110*D110</f>
        <v>5000</v>
      </c>
      <c r="F110" s="13"/>
      <c r="G110" s="14"/>
      <c r="H110" s="34"/>
      <c r="I110" s="14"/>
    </row>
    <row r="111" spans="2:16" ht="27" customHeight="1">
      <c r="B111" s="46" t="s">
        <v>3</v>
      </c>
      <c r="C111" s="15">
        <v>0.1</v>
      </c>
      <c r="D111" s="11"/>
      <c r="E111" s="12">
        <f>SUM(E109:E110)*C111</f>
        <v>4500</v>
      </c>
      <c r="F111" s="13"/>
      <c r="G111" s="14"/>
      <c r="H111" s="34"/>
      <c r="I111" s="14"/>
    </row>
    <row r="112" spans="2:16" ht="27" customHeight="1">
      <c r="B112" s="46" t="s">
        <v>24</v>
      </c>
      <c r="C112" s="5">
        <v>30</v>
      </c>
      <c r="D112" s="11"/>
      <c r="E112" s="12">
        <f>-SUM(E109:E111)/30*C112</f>
        <v>-49500</v>
      </c>
      <c r="F112" s="13"/>
      <c r="G112" s="14"/>
      <c r="H112" s="34"/>
      <c r="I112" s="14"/>
    </row>
    <row r="113" spans="2:16" ht="27" customHeight="1">
      <c r="B113" s="46" t="s">
        <v>70</v>
      </c>
      <c r="C113" s="5">
        <v>30</v>
      </c>
      <c r="D113" s="11"/>
      <c r="E113" s="12"/>
      <c r="F113" s="39">
        <f>+G53*0.75</f>
        <v>30071.25</v>
      </c>
      <c r="G113" s="14"/>
      <c r="H113" s="34"/>
      <c r="I113" s="14"/>
    </row>
    <row r="114" spans="2:16" ht="27" customHeight="1">
      <c r="B114" s="47" t="s">
        <v>25</v>
      </c>
      <c r="C114" s="37"/>
      <c r="D114" s="38"/>
      <c r="E114" s="39"/>
      <c r="F114" s="40"/>
      <c r="G114" s="41">
        <f>-E112/2*0.83</f>
        <v>20542.5</v>
      </c>
      <c r="H114" s="34"/>
      <c r="I114" s="14"/>
    </row>
    <row r="115" spans="2:16" ht="27" customHeight="1">
      <c r="B115" s="46" t="s">
        <v>4</v>
      </c>
      <c r="C115" s="15">
        <v>0.11</v>
      </c>
      <c r="D115" s="11"/>
      <c r="E115" s="13"/>
      <c r="F115" s="13"/>
      <c r="G115" s="16">
        <f>$E$97*C115</f>
        <v>0</v>
      </c>
      <c r="H115" s="35">
        <v>0.1077</v>
      </c>
      <c r="I115" s="16">
        <f>$E$97*H115</f>
        <v>0</v>
      </c>
    </row>
    <row r="116" spans="2:16" ht="27" customHeight="1">
      <c r="B116" s="46" t="s">
        <v>5</v>
      </c>
      <c r="C116" s="15">
        <v>0.03</v>
      </c>
      <c r="D116" s="11"/>
      <c r="E116" s="13"/>
      <c r="F116" s="13"/>
      <c r="G116" s="16">
        <f t="shared" ref="G116:G121" si="10">$E$97*C116</f>
        <v>0</v>
      </c>
      <c r="H116" s="35">
        <v>1.5900000000000001E-2</v>
      </c>
      <c r="I116" s="16">
        <f>$E$97*H116</f>
        <v>0</v>
      </c>
    </row>
    <row r="117" spans="2:16" ht="27" customHeight="1">
      <c r="B117" s="46" t="s">
        <v>6</v>
      </c>
      <c r="C117" s="17">
        <v>2.5499999999999998E-2</v>
      </c>
      <c r="D117" s="11"/>
      <c r="E117" s="13"/>
      <c r="F117" s="13"/>
      <c r="G117" s="16">
        <f>+$F$113*C117</f>
        <v>766.81687499999998</v>
      </c>
      <c r="H117" s="35">
        <f>C117*2</f>
        <v>5.0999999999999997E-2</v>
      </c>
      <c r="I117" s="16">
        <f>+$F$113*H117</f>
        <v>1533.63375</v>
      </c>
    </row>
    <row r="118" spans="2:16" ht="27" customHeight="1">
      <c r="B118" s="48" t="s">
        <v>11</v>
      </c>
      <c r="C118" s="17">
        <v>4.4999999999999997E-3</v>
      </c>
      <c r="D118" s="18"/>
      <c r="E118" s="19"/>
      <c r="F118" s="19"/>
      <c r="G118" s="16">
        <f t="shared" ref="G118:G119" si="11">+$F$113*C118</f>
        <v>135.32062499999998</v>
      </c>
      <c r="H118" s="35">
        <f>C118*2</f>
        <v>8.9999999999999993E-3</v>
      </c>
      <c r="I118" s="16">
        <f>+$F$113*H118</f>
        <v>270.64124999999996</v>
      </c>
    </row>
    <row r="119" spans="2:16" ht="27" customHeight="1">
      <c r="B119" s="48" t="s">
        <v>10</v>
      </c>
      <c r="C119" s="29">
        <v>0.02</v>
      </c>
      <c r="D119" s="18"/>
      <c r="E119" s="19"/>
      <c r="F119" s="19"/>
      <c r="G119" s="16">
        <f t="shared" si="11"/>
        <v>601.42500000000007</v>
      </c>
      <c r="H119" s="35">
        <v>0</v>
      </c>
      <c r="I119" s="16">
        <f t="shared" ref="I119:I121" si="12">$E$97*H119</f>
        <v>0</v>
      </c>
    </row>
    <row r="120" spans="2:16" ht="27" customHeight="1">
      <c r="B120" s="48" t="s">
        <v>21</v>
      </c>
      <c r="C120" s="29"/>
      <c r="D120" s="18"/>
      <c r="E120" s="19"/>
      <c r="F120" s="19"/>
      <c r="G120" s="16">
        <f t="shared" si="10"/>
        <v>0</v>
      </c>
      <c r="H120" s="35">
        <v>9.4000000000000004E-3</v>
      </c>
      <c r="I120" s="16">
        <f t="shared" si="12"/>
        <v>0</v>
      </c>
    </row>
    <row r="121" spans="2:16" ht="27" customHeight="1">
      <c r="B121" s="48" t="s">
        <v>20</v>
      </c>
      <c r="C121" s="29"/>
      <c r="D121" s="18"/>
      <c r="E121" s="19"/>
      <c r="F121" s="19"/>
      <c r="G121" s="16">
        <f t="shared" si="10"/>
        <v>0</v>
      </c>
      <c r="H121" s="35">
        <v>4.7E-2</v>
      </c>
      <c r="I121" s="16">
        <f t="shared" si="12"/>
        <v>0</v>
      </c>
    </row>
    <row r="122" spans="2:16" ht="27" customHeight="1" thickBot="1">
      <c r="B122" s="20"/>
      <c r="C122" s="21" t="s">
        <v>7</v>
      </c>
      <c r="D122" s="22"/>
      <c r="E122" s="23">
        <f>SUM(E109:E117)</f>
        <v>0</v>
      </c>
      <c r="F122" s="23">
        <f>SUM(F109:F117)</f>
        <v>30071.25</v>
      </c>
      <c r="G122" s="27">
        <f>SUM(G114:G121)</f>
        <v>22046.0625</v>
      </c>
      <c r="H122" s="36" t="s">
        <v>0</v>
      </c>
      <c r="I122" s="27">
        <f>SUM(I115:I121)</f>
        <v>1804.2749999999999</v>
      </c>
    </row>
    <row r="123" spans="2:16" ht="27" customHeight="1" thickTop="1" thickBot="1">
      <c r="B123" s="43"/>
      <c r="C123" s="43"/>
      <c r="D123" s="43"/>
      <c r="E123" s="43"/>
      <c r="F123" s="43" t="s">
        <v>15</v>
      </c>
      <c r="G123" s="42">
        <f>E122+F122-G122</f>
        <v>8025.1875</v>
      </c>
      <c r="H123" s="44" t="s">
        <v>23</v>
      </c>
      <c r="I123" s="94">
        <f>G123+G122+I122-G114</f>
        <v>11333.025000000001</v>
      </c>
    </row>
    <row r="124" spans="2:16" ht="15.75" thickTop="1">
      <c r="B124" s="101" t="s">
        <v>64</v>
      </c>
      <c r="C124" s="101"/>
      <c r="D124" s="101"/>
      <c r="E124" s="101"/>
      <c r="F124" s="101"/>
      <c r="G124" s="101"/>
      <c r="H124" s="101"/>
      <c r="I124" s="101"/>
      <c r="J124" s="90"/>
      <c r="K124" s="90"/>
      <c r="L124" s="90"/>
      <c r="M124" s="90"/>
      <c r="N124" s="97"/>
      <c r="O124" s="90"/>
      <c r="P124" s="90"/>
    </row>
    <row r="125" spans="2:16">
      <c r="B125" s="101" t="s">
        <v>72</v>
      </c>
      <c r="C125" s="101"/>
      <c r="D125" s="101"/>
      <c r="E125" s="101"/>
      <c r="F125" s="101"/>
      <c r="G125" s="101"/>
      <c r="H125" s="101"/>
      <c r="I125" s="101"/>
      <c r="J125" s="91"/>
      <c r="K125" s="90"/>
      <c r="L125" s="90"/>
      <c r="M125" s="90"/>
      <c r="N125" s="97"/>
      <c r="O125" s="90"/>
      <c r="P125" s="90"/>
    </row>
    <row r="126" spans="2:16">
      <c r="B126" s="86" t="s">
        <v>71</v>
      </c>
      <c r="C126" s="74"/>
      <c r="D126" s="87"/>
      <c r="E126" s="87"/>
      <c r="F126" s="87"/>
    </row>
    <row r="128" spans="2:16">
      <c r="I128" s="49"/>
      <c r="K128" s="49"/>
    </row>
  </sheetData>
  <mergeCells count="13">
    <mergeCell ref="B3:G4"/>
    <mergeCell ref="B125:I125"/>
    <mergeCell ref="L46:M46"/>
    <mergeCell ref="I15:K15"/>
    <mergeCell ref="B124:I124"/>
    <mergeCell ref="B7:G8"/>
    <mergeCell ref="H23:I23"/>
    <mergeCell ref="B23:G24"/>
    <mergeCell ref="B100:I100"/>
    <mergeCell ref="B76:I76"/>
    <mergeCell ref="I31:K31"/>
    <mergeCell ref="B99:I99"/>
    <mergeCell ref="B38:H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6"/>
  <sheetViews>
    <sheetView topLeftCell="A16" workbookViewId="0">
      <selection activeCell="A22" sqref="A22:O22"/>
    </sheetView>
  </sheetViews>
  <sheetFormatPr baseColWidth="10" defaultRowHeight="15"/>
  <cols>
    <col min="1" max="16384" width="11.42578125" style="52"/>
  </cols>
  <sheetData>
    <row r="1" spans="1:15">
      <c r="A1" s="109" t="s">
        <v>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>
      <c r="A2" s="51"/>
      <c r="B2" s="51"/>
      <c r="C2" s="51"/>
      <c r="D2" s="51"/>
    </row>
    <row r="3" spans="1:15">
      <c r="A3" s="113" t="s">
        <v>28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5">
      <c r="A4" s="113" t="s">
        <v>29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>
      <c r="A5" s="113" t="s">
        <v>30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5">
      <c r="A6" s="113" t="s">
        <v>43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5">
      <c r="A7" s="113" t="s">
        <v>44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1:15">
      <c r="A8" s="113" t="s">
        <v>51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1:15">
      <c r="A9" s="113" t="s">
        <v>50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1" spans="1:15">
      <c r="A11" s="111" t="s">
        <v>32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</row>
    <row r="12" spans="1:1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15">
      <c r="A13" s="113" t="s">
        <v>31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</row>
    <row r="15" spans="1:15">
      <c r="A15" s="112" t="s">
        <v>33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</row>
    <row r="16" spans="1:15">
      <c r="A16" s="54"/>
      <c r="B16" s="55"/>
      <c r="C16" s="55"/>
      <c r="D16" s="55"/>
      <c r="E16" s="55"/>
      <c r="F16" s="55"/>
      <c r="G16" s="55"/>
    </row>
    <row r="17" spans="1:15">
      <c r="A17" s="110" t="s">
        <v>34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</row>
    <row r="18" spans="1:15">
      <c r="A18" s="110" t="s">
        <v>45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</row>
    <row r="20" spans="1:15">
      <c r="A20" s="111" t="s">
        <v>35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</row>
    <row r="21" spans="1:15">
      <c r="A21" s="53"/>
    </row>
    <row r="22" spans="1:15">
      <c r="A22" s="110" t="s">
        <v>36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</row>
    <row r="23" spans="1:15">
      <c r="A23" s="110" t="s">
        <v>37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</row>
    <row r="24" spans="1:15">
      <c r="A24" s="110" t="s">
        <v>27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  <row r="26" spans="1:15">
      <c r="A26" s="112" t="s">
        <v>38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5">
      <c r="A27" s="110" t="s">
        <v>39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</row>
    <row r="28" spans="1:15">
      <c r="A28" s="110" t="s">
        <v>40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</row>
    <row r="29" spans="1:15">
      <c r="A29" s="110" t="s">
        <v>26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</row>
    <row r="30" spans="1:15">
      <c r="A30" s="110" t="s">
        <v>41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</row>
    <row r="31" spans="1:15">
      <c r="A31" s="110" t="s">
        <v>49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</row>
    <row r="33" spans="1:15">
      <c r="A33" s="111" t="s">
        <v>42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spans="1:1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</row>
    <row r="35" spans="1:15">
      <c r="A35" s="110" t="s">
        <v>46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1:15">
      <c r="A36" s="110" t="s">
        <v>47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</row>
  </sheetData>
  <mergeCells count="26">
    <mergeCell ref="A13:O13"/>
    <mergeCell ref="A15:O15"/>
    <mergeCell ref="A17:O17"/>
    <mergeCell ref="A18:O18"/>
    <mergeCell ref="A9:O9"/>
    <mergeCell ref="A5:O5"/>
    <mergeCell ref="A6:O6"/>
    <mergeCell ref="A7:O7"/>
    <mergeCell ref="A8:O8"/>
    <mergeCell ref="A11:O11"/>
    <mergeCell ref="A1:O1"/>
    <mergeCell ref="A36:O36"/>
    <mergeCell ref="A28:O28"/>
    <mergeCell ref="A29:O29"/>
    <mergeCell ref="A30:O30"/>
    <mergeCell ref="A31:O31"/>
    <mergeCell ref="A33:O33"/>
    <mergeCell ref="A35:O35"/>
    <mergeCell ref="A22:O22"/>
    <mergeCell ref="A23:O23"/>
    <mergeCell ref="A24:O24"/>
    <mergeCell ref="A26:O26"/>
    <mergeCell ref="A27:O27"/>
    <mergeCell ref="A20:O20"/>
    <mergeCell ref="A3:O3"/>
    <mergeCell ref="A4: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CÁLCULOS</vt:lpstr>
      <vt:lpstr>OBSERVACIONES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FACPCE</cp:lastModifiedBy>
  <dcterms:created xsi:type="dcterms:W3CDTF">2020-04-30T14:21:45Z</dcterms:created>
  <dcterms:modified xsi:type="dcterms:W3CDTF">2020-05-04T19:44:54Z</dcterms:modified>
</cp:coreProperties>
</file>